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holste\Box Sync\AAnns Files\AgDM\2-17\"/>
    </mc:Choice>
  </mc:AlternateContent>
  <bookViews>
    <workbookView xWindow="120" yWindow="156" windowWidth="24912" windowHeight="12072"/>
  </bookViews>
  <sheets>
    <sheet name="Example" sheetId="4" r:id="rId1"/>
    <sheet name="Blank" sheetId="5" r:id="rId2"/>
  </sheets>
  <definedNames>
    <definedName name="_xlnm.Print_Area" localSheetId="1">Blank!$C$1:$S$113</definedName>
    <definedName name="_xlnm.Print_Area" localSheetId="0">Example!$C$1:$S$113</definedName>
  </definedNames>
  <calcPr calcId="152511"/>
</workbook>
</file>

<file path=xl/calcChain.xml><?xml version="1.0" encoding="utf-8"?>
<calcChain xmlns="http://schemas.openxmlformats.org/spreadsheetml/2006/main">
  <c r="C108" i="5" l="1"/>
  <c r="D48" i="5"/>
  <c r="D47" i="5"/>
  <c r="S44" i="5"/>
  <c r="R44" i="5"/>
  <c r="Q44" i="5"/>
  <c r="P44" i="5"/>
  <c r="O44" i="5"/>
  <c r="N44" i="5"/>
  <c r="M44" i="5"/>
  <c r="L44" i="5"/>
  <c r="K44" i="5"/>
  <c r="J44" i="5"/>
  <c r="I44" i="5"/>
  <c r="H44" i="5"/>
  <c r="G44" i="5"/>
  <c r="F44" i="5"/>
  <c r="E44" i="5"/>
  <c r="E15" i="5"/>
  <c r="E39" i="5" s="1"/>
  <c r="D52" i="4"/>
  <c r="D48" i="4"/>
  <c r="D47" i="4"/>
  <c r="E55" i="5" l="1"/>
  <c r="F15" i="5"/>
  <c r="F55" i="5" s="1"/>
  <c r="D60" i="5"/>
  <c r="D65" i="5" s="1"/>
  <c r="D59" i="5"/>
  <c r="D64" i="5" s="1"/>
  <c r="D52" i="5"/>
  <c r="D53" i="5"/>
  <c r="E16" i="5"/>
  <c r="E29" i="5" s="1"/>
  <c r="E37" i="5" s="1"/>
  <c r="E42" i="5" s="1"/>
  <c r="P44" i="4"/>
  <c r="Q44" i="4"/>
  <c r="R44" i="4"/>
  <c r="S44" i="4"/>
  <c r="F16" i="5" l="1"/>
  <c r="F29" i="5" s="1"/>
  <c r="F37" i="5" s="1"/>
  <c r="F42" i="5" s="1"/>
  <c r="F48" i="5" s="1"/>
  <c r="F60" i="5" s="1"/>
  <c r="F39" i="5"/>
  <c r="G15" i="5"/>
  <c r="H15" i="5" s="1"/>
  <c r="E53" i="5"/>
  <c r="E48" i="5"/>
  <c r="E60" i="5" s="1"/>
  <c r="E65" i="5" s="1"/>
  <c r="E47" i="5"/>
  <c r="G55" i="5"/>
  <c r="D60" i="4"/>
  <c r="D65" i="4" s="1"/>
  <c r="F47" i="5" l="1"/>
  <c r="F59" i="5" s="1"/>
  <c r="G39" i="5"/>
  <c r="G16" i="5"/>
  <c r="G29" i="5" s="1"/>
  <c r="G37" i="5" s="1"/>
  <c r="G42" i="5" s="1"/>
  <c r="G48" i="5" s="1"/>
  <c r="G60" i="5" s="1"/>
  <c r="H55" i="5"/>
  <c r="I15" i="5"/>
  <c r="H39" i="5"/>
  <c r="H16" i="5"/>
  <c r="H29" i="5" s="1"/>
  <c r="H37" i="5" s="1"/>
  <c r="H42" i="5" s="1"/>
  <c r="F65" i="5"/>
  <c r="E59" i="5"/>
  <c r="E64" i="5" s="1"/>
  <c r="E52" i="5"/>
  <c r="F53" i="5" s="1"/>
  <c r="D53" i="4"/>
  <c r="E44" i="4"/>
  <c r="G47" i="5" l="1"/>
  <c r="F64" i="5"/>
  <c r="G65" i="5"/>
  <c r="I39" i="5"/>
  <c r="I16" i="5"/>
  <c r="I29" i="5" s="1"/>
  <c r="I37" i="5" s="1"/>
  <c r="I42" i="5" s="1"/>
  <c r="J15" i="5"/>
  <c r="I55" i="5"/>
  <c r="H48" i="5"/>
  <c r="H60" i="5" s="1"/>
  <c r="H65" i="5" s="1"/>
  <c r="H47" i="5"/>
  <c r="F52" i="5"/>
  <c r="G53" i="5" s="1"/>
  <c r="C108" i="4"/>
  <c r="G52" i="5" l="1"/>
  <c r="H53" i="5" s="1"/>
  <c r="G59" i="5"/>
  <c r="G64" i="5" s="1"/>
  <c r="J16" i="5"/>
  <c r="J29" i="5" s="1"/>
  <c r="J37" i="5" s="1"/>
  <c r="J42" i="5" s="1"/>
  <c r="J55" i="5"/>
  <c r="J39" i="5"/>
  <c r="K15" i="5"/>
  <c r="H59" i="5"/>
  <c r="I48" i="5"/>
  <c r="I60" i="5" s="1"/>
  <c r="I65" i="5" s="1"/>
  <c r="I47" i="5"/>
  <c r="K44" i="4"/>
  <c r="E15" i="4"/>
  <c r="E16" i="4" s="1"/>
  <c r="E29" i="4" s="1"/>
  <c r="E37" i="4" s="1"/>
  <c r="L44" i="4"/>
  <c r="F44" i="4"/>
  <c r="G44" i="4"/>
  <c r="H44" i="4"/>
  <c r="I44" i="4"/>
  <c r="J44" i="4"/>
  <c r="M44" i="4"/>
  <c r="N44" i="4"/>
  <c r="O44" i="4"/>
  <c r="H64" i="5" l="1"/>
  <c r="H52" i="5"/>
  <c r="I53" i="5" s="1"/>
  <c r="J48" i="5"/>
  <c r="J60" i="5" s="1"/>
  <c r="J65" i="5" s="1"/>
  <c r="J47" i="5"/>
  <c r="I59" i="5"/>
  <c r="I64" i="5" s="1"/>
  <c r="I52" i="5"/>
  <c r="J53" i="5" s="1"/>
  <c r="K55" i="5"/>
  <c r="L15" i="5"/>
  <c r="K16" i="5"/>
  <c r="K29" i="5" s="1"/>
  <c r="K37" i="5" s="1"/>
  <c r="K42" i="5" s="1"/>
  <c r="K39" i="5"/>
  <c r="E55" i="4"/>
  <c r="D59" i="4"/>
  <c r="E39" i="4"/>
  <c r="F15" i="4"/>
  <c r="L55" i="5" l="1"/>
  <c r="M15" i="5"/>
  <c r="L39" i="5"/>
  <c r="L16" i="5"/>
  <c r="L29" i="5" s="1"/>
  <c r="L37" i="5" s="1"/>
  <c r="L42" i="5" s="1"/>
  <c r="K48" i="5"/>
  <c r="K60" i="5" s="1"/>
  <c r="K65" i="5" s="1"/>
  <c r="K47" i="5"/>
  <c r="J59" i="5"/>
  <c r="J64" i="5" s="1"/>
  <c r="J52" i="5"/>
  <c r="K53" i="5" s="1"/>
  <c r="D64" i="4"/>
  <c r="G15" i="4"/>
  <c r="G16" i="4" s="1"/>
  <c r="G29" i="4" s="1"/>
  <c r="F16" i="4"/>
  <c r="F29" i="4" s="1"/>
  <c r="F39" i="4"/>
  <c r="F55" i="4"/>
  <c r="L53" i="5" l="1"/>
  <c r="L48" i="5"/>
  <c r="L60" i="5" s="1"/>
  <c r="L65" i="5" s="1"/>
  <c r="L47" i="5"/>
  <c r="M39" i="5"/>
  <c r="M16" i="5"/>
  <c r="M29" i="5" s="1"/>
  <c r="M37" i="5" s="1"/>
  <c r="M42" i="5" s="1"/>
  <c r="M55" i="5"/>
  <c r="N15" i="5"/>
  <c r="K52" i="5"/>
  <c r="K59" i="5"/>
  <c r="K64" i="5" s="1"/>
  <c r="E42" i="4"/>
  <c r="G39" i="4"/>
  <c r="H15" i="4"/>
  <c r="H16" i="4" s="1"/>
  <c r="H29" i="4" s="1"/>
  <c r="G55" i="4"/>
  <c r="M53" i="5" l="1"/>
  <c r="M48" i="5"/>
  <c r="M60" i="5" s="1"/>
  <c r="M65" i="5" s="1"/>
  <c r="M47" i="5"/>
  <c r="N16" i="5"/>
  <c r="N29" i="5" s="1"/>
  <c r="N37" i="5" s="1"/>
  <c r="N42" i="5" s="1"/>
  <c r="N55" i="5"/>
  <c r="N39" i="5"/>
  <c r="O15" i="5"/>
  <c r="L59" i="5"/>
  <c r="L64" i="5" s="1"/>
  <c r="L52" i="5"/>
  <c r="E48" i="4"/>
  <c r="E60" i="4" s="1"/>
  <c r="E65" i="4" s="1"/>
  <c r="E47" i="4"/>
  <c r="E52" i="4" s="1"/>
  <c r="E53" i="4"/>
  <c r="F37" i="4"/>
  <c r="F42" i="4" s="1"/>
  <c r="F48" i="4" s="1"/>
  <c r="F60" i="4" s="1"/>
  <c r="H55" i="4"/>
  <c r="H39" i="4"/>
  <c r="I15" i="4"/>
  <c r="I16" i="4" s="1"/>
  <c r="I29" i="4" s="1"/>
  <c r="N53" i="5" l="1"/>
  <c r="N48" i="5"/>
  <c r="N60" i="5" s="1"/>
  <c r="N65" i="5" s="1"/>
  <c r="N47" i="5"/>
  <c r="O55" i="5"/>
  <c r="P15" i="5"/>
  <c r="O39" i="5"/>
  <c r="O16" i="5"/>
  <c r="O29" i="5" s="1"/>
  <c r="O37" i="5" s="1"/>
  <c r="O42" i="5" s="1"/>
  <c r="M52" i="5"/>
  <c r="M59" i="5"/>
  <c r="M64" i="5" s="1"/>
  <c r="E59" i="4"/>
  <c r="E64" i="4" s="1"/>
  <c r="F53" i="4"/>
  <c r="F65" i="4"/>
  <c r="F47" i="4"/>
  <c r="G37" i="4"/>
  <c r="G42" i="4" s="1"/>
  <c r="G48" i="4" s="1"/>
  <c r="G60" i="4" s="1"/>
  <c r="I55" i="4"/>
  <c r="J15" i="4"/>
  <c r="J16" i="4" s="1"/>
  <c r="J29" i="4" s="1"/>
  <c r="I39" i="4"/>
  <c r="P55" i="5" l="1"/>
  <c r="Q15" i="5"/>
  <c r="P39" i="5"/>
  <c r="P16" i="5"/>
  <c r="P29" i="5" s="1"/>
  <c r="P37" i="5" s="1"/>
  <c r="P42" i="5" s="1"/>
  <c r="O53" i="5"/>
  <c r="O48" i="5"/>
  <c r="O60" i="5" s="1"/>
  <c r="O65" i="5" s="1"/>
  <c r="O47" i="5"/>
  <c r="N59" i="5"/>
  <c r="N64" i="5" s="1"/>
  <c r="N52" i="5"/>
  <c r="G65" i="4"/>
  <c r="F52" i="4"/>
  <c r="G53" i="4" s="1"/>
  <c r="F59" i="4"/>
  <c r="G47" i="4"/>
  <c r="H37" i="4"/>
  <c r="H42" i="4" s="1"/>
  <c r="H48" i="4" s="1"/>
  <c r="H60" i="4" s="1"/>
  <c r="J55" i="4"/>
  <c r="K15" i="4"/>
  <c r="K16" i="4" s="1"/>
  <c r="K29" i="4" s="1"/>
  <c r="J39" i="4"/>
  <c r="P48" i="5" l="1"/>
  <c r="P60" i="5" s="1"/>
  <c r="P65" i="5" s="1"/>
  <c r="P47" i="5"/>
  <c r="P53" i="5"/>
  <c r="Q39" i="5"/>
  <c r="Q16" i="5"/>
  <c r="Q29" i="5" s="1"/>
  <c r="Q37" i="5" s="1"/>
  <c r="Q42" i="5" s="1"/>
  <c r="R15" i="5"/>
  <c r="Q55" i="5"/>
  <c r="O52" i="5"/>
  <c r="O59" i="5"/>
  <c r="O64" i="5" s="1"/>
  <c r="H65" i="4"/>
  <c r="G52" i="4"/>
  <c r="H53" i="4" s="1"/>
  <c r="G59" i="4"/>
  <c r="F64" i="4"/>
  <c r="H47" i="4"/>
  <c r="I37" i="4"/>
  <c r="I42" i="4" s="1"/>
  <c r="I48" i="4" s="1"/>
  <c r="I60" i="4" s="1"/>
  <c r="L15" i="4"/>
  <c r="L16" i="4" s="1"/>
  <c r="L29" i="4" s="1"/>
  <c r="K39" i="4"/>
  <c r="K55" i="4"/>
  <c r="R16" i="5" l="1"/>
  <c r="R29" i="5" s="1"/>
  <c r="R37" i="5" s="1"/>
  <c r="R42" i="5" s="1"/>
  <c r="R55" i="5"/>
  <c r="S15" i="5"/>
  <c r="R39" i="5"/>
  <c r="P59" i="5"/>
  <c r="P64" i="5" s="1"/>
  <c r="P52" i="5"/>
  <c r="Q53" i="5"/>
  <c r="Q48" i="5"/>
  <c r="Q60" i="5" s="1"/>
  <c r="Q65" i="5" s="1"/>
  <c r="Q47" i="5"/>
  <c r="H52" i="4"/>
  <c r="I53" i="4" s="1"/>
  <c r="I65" i="4"/>
  <c r="H59" i="4"/>
  <c r="G64" i="4"/>
  <c r="I47" i="4"/>
  <c r="J37" i="4"/>
  <c r="J42" i="4" s="1"/>
  <c r="J48" i="4" s="1"/>
  <c r="J60" i="4" s="1"/>
  <c r="M15" i="4"/>
  <c r="M16" i="4" s="1"/>
  <c r="M29" i="4" s="1"/>
  <c r="L55" i="4"/>
  <c r="L39" i="4"/>
  <c r="Q52" i="5" l="1"/>
  <c r="Q59" i="5"/>
  <c r="Q64" i="5" s="1"/>
  <c r="R53" i="5"/>
  <c r="R48" i="5"/>
  <c r="R60" i="5" s="1"/>
  <c r="R65" i="5" s="1"/>
  <c r="R47" i="5"/>
  <c r="S55" i="5"/>
  <c r="S16" i="5"/>
  <c r="S29" i="5" s="1"/>
  <c r="S37" i="5" s="1"/>
  <c r="S42" i="5" s="1"/>
  <c r="S39" i="5"/>
  <c r="I52" i="4"/>
  <c r="J53" i="4" s="1"/>
  <c r="J65" i="4"/>
  <c r="H64" i="4"/>
  <c r="I59" i="4"/>
  <c r="J47" i="4"/>
  <c r="K37" i="4"/>
  <c r="K42" i="4" s="1"/>
  <c r="K48" i="4" s="1"/>
  <c r="K60" i="4" s="1"/>
  <c r="M39" i="4"/>
  <c r="N15" i="4"/>
  <c r="N16" i="4" s="1"/>
  <c r="N29" i="4" s="1"/>
  <c r="M55" i="4"/>
  <c r="R59" i="5" l="1"/>
  <c r="R64" i="5" s="1"/>
  <c r="R52" i="5"/>
  <c r="S53" i="5"/>
  <c r="S48" i="5"/>
  <c r="S60" i="5" s="1"/>
  <c r="S65" i="5" s="1"/>
  <c r="S47" i="5"/>
  <c r="J52" i="4"/>
  <c r="K53" i="4" s="1"/>
  <c r="K65" i="4"/>
  <c r="I64" i="4"/>
  <c r="J59" i="4"/>
  <c r="K47" i="4"/>
  <c r="L37" i="4"/>
  <c r="L42" i="4" s="1"/>
  <c r="L48" i="4" s="1"/>
  <c r="L60" i="4" s="1"/>
  <c r="N39" i="4"/>
  <c r="N55" i="4"/>
  <c r="O15" i="4"/>
  <c r="S52" i="5" l="1"/>
  <c r="S59" i="5"/>
  <c r="S64" i="5" s="1"/>
  <c r="O71" i="5"/>
  <c r="O73" i="5" s="1"/>
  <c r="G73" i="5"/>
  <c r="G71" i="5"/>
  <c r="G75" i="5"/>
  <c r="G77" i="5"/>
  <c r="O16" i="4"/>
  <c r="O29" i="4" s="1"/>
  <c r="O37" i="4" s="1"/>
  <c r="P15" i="4"/>
  <c r="L65" i="4"/>
  <c r="K52" i="4"/>
  <c r="L53" i="4" s="1"/>
  <c r="J64" i="4"/>
  <c r="L47" i="4"/>
  <c r="K59" i="4"/>
  <c r="M37" i="4"/>
  <c r="M42" i="4" s="1"/>
  <c r="M48" i="4" s="1"/>
  <c r="M60" i="4" s="1"/>
  <c r="O39" i="4"/>
  <c r="O55" i="4"/>
  <c r="Q15" i="4" l="1"/>
  <c r="P39" i="4"/>
  <c r="P55" i="4"/>
  <c r="P16" i="4"/>
  <c r="P29" i="4" s="1"/>
  <c r="P37" i="4" s="1"/>
  <c r="P42" i="4" s="1"/>
  <c r="M65" i="4"/>
  <c r="L52" i="4"/>
  <c r="M53" i="4" s="1"/>
  <c r="L59" i="4"/>
  <c r="K64" i="4"/>
  <c r="M47" i="4"/>
  <c r="N37" i="4"/>
  <c r="N42" i="4" s="1"/>
  <c r="N48" i="4" s="1"/>
  <c r="N60" i="4" s="1"/>
  <c r="P47" i="4" l="1"/>
  <c r="P59" i="4" s="1"/>
  <c r="P48" i="4"/>
  <c r="P60" i="4" s="1"/>
  <c r="Q55" i="4"/>
  <c r="Q39" i="4"/>
  <c r="Q16" i="4"/>
  <c r="Q29" i="4" s="1"/>
  <c r="Q37" i="4" s="1"/>
  <c r="Q42" i="4" s="1"/>
  <c r="R15" i="4"/>
  <c r="N65" i="4"/>
  <c r="L64" i="4"/>
  <c r="M52" i="4"/>
  <c r="N53" i="4" s="1"/>
  <c r="M59" i="4"/>
  <c r="N47" i="4"/>
  <c r="O42" i="4"/>
  <c r="O48" i="4" s="1"/>
  <c r="O60" i="4" s="1"/>
  <c r="O65" i="4" l="1"/>
  <c r="P65" i="4" s="1"/>
  <c r="Q47" i="4"/>
  <c r="Q59" i="4" s="1"/>
  <c r="Q48" i="4"/>
  <c r="Q60" i="4" s="1"/>
  <c r="Q65" i="4" s="1"/>
  <c r="R39" i="4"/>
  <c r="R55" i="4"/>
  <c r="R16" i="4"/>
  <c r="R29" i="4" s="1"/>
  <c r="R37" i="4" s="1"/>
  <c r="R42" i="4" s="1"/>
  <c r="S15" i="4"/>
  <c r="M64" i="4"/>
  <c r="N59" i="4"/>
  <c r="N52" i="4"/>
  <c r="O53" i="4" s="1"/>
  <c r="O47" i="4"/>
  <c r="S16" i="4" l="1"/>
  <c r="S29" i="4" s="1"/>
  <c r="S37" i="4" s="1"/>
  <c r="S42" i="4" s="1"/>
  <c r="S39" i="4"/>
  <c r="S55" i="4"/>
  <c r="R48" i="4"/>
  <c r="R60" i="4" s="1"/>
  <c r="R65" i="4" s="1"/>
  <c r="R47" i="4"/>
  <c r="R59" i="4" s="1"/>
  <c r="N64" i="4"/>
  <c r="O59" i="4"/>
  <c r="O52" i="4"/>
  <c r="O64" i="4" l="1"/>
  <c r="P64" i="4" s="1"/>
  <c r="Q64" i="4" s="1"/>
  <c r="R64" i="4" s="1"/>
  <c r="S48" i="4"/>
  <c r="S60" i="4" s="1"/>
  <c r="S65" i="4" s="1"/>
  <c r="S47" i="4"/>
  <c r="P53" i="4"/>
  <c r="P52" i="4"/>
  <c r="O71" i="4" l="1"/>
  <c r="O73" i="4" s="1"/>
  <c r="G77" i="4"/>
  <c r="G75" i="4"/>
  <c r="S59" i="4"/>
  <c r="S64" i="4" s="1"/>
  <c r="G73" i="4"/>
  <c r="G71" i="4"/>
  <c r="Q52" i="4"/>
  <c r="Q53" i="4"/>
  <c r="R53" i="4" l="1"/>
  <c r="R52" i="4"/>
  <c r="S52" i="4" l="1"/>
  <c r="S53" i="4"/>
</calcChain>
</file>

<file path=xl/comments1.xml><?xml version="1.0" encoding="utf-8"?>
<comments xmlns="http://schemas.openxmlformats.org/spreadsheetml/2006/main">
  <authors>
    <author>Schulz, Lee [ECON]</author>
  </authors>
  <commentList>
    <comment ref="C5" authorId="0" shapeId="0">
      <text>
        <r>
          <rPr>
            <sz val="10"/>
            <color indexed="81"/>
            <rFont val="Arial"/>
            <family val="2"/>
          </rPr>
          <t>Place the cursor over cells with red triangles to read comments.</t>
        </r>
      </text>
    </comment>
    <comment ref="F10" authorId="0" shapeId="0">
      <text>
        <r>
          <rPr>
            <sz val="10"/>
            <color indexed="81"/>
            <rFont val="Arial"/>
            <family val="2"/>
          </rPr>
          <t xml:space="preserve">Enter the purchase price of the replacement female. If the replacement female is being retained from within the herd, an opportunity cost is involved with retaining that female, thus, it is suggested that the market value of the female is entered here. 
 </t>
        </r>
      </text>
    </comment>
    <comment ref="L10" authorId="0" shapeId="0">
      <text>
        <r>
          <rPr>
            <sz val="10"/>
            <color indexed="81"/>
            <rFont val="Arial"/>
            <family val="2"/>
          </rPr>
          <t>Enter the number of years you expect this beef replacement female will be able to produce a calf.</t>
        </r>
      </text>
    </comment>
    <comment ref="F11" authorId="0" shapeId="0">
      <text>
        <r>
          <rPr>
            <sz val="10"/>
            <color indexed="81"/>
            <rFont val="Arial"/>
            <family val="2"/>
          </rPr>
          <t>Enter the year the replacement female is purchased or enters your development program (i.e., year weaned).</t>
        </r>
      </text>
    </comment>
    <comment ref="L11" authorId="0" shapeId="0">
      <text>
        <r>
          <rPr>
            <sz val="10"/>
            <color indexed="81"/>
            <rFont val="Arial"/>
            <family val="2"/>
          </rPr>
          <t>Enter a desired rate of return (typically suggest to enter 
a value comparable to interest rates on operating loans). 
A value higher than the loan rate is justified if risk is high.
The discount rate is best thought of as an opportunity cost.  
It is the minimum rate of return the investor is willing to take 
to accept the risk associated with the investment.
If you have a targeted rate of return for investing in replacement 
females, enter that as the discount rate.</t>
        </r>
      </text>
    </comment>
    <comment ref="F12" authorId="0" shapeId="0">
      <text>
        <r>
          <rPr>
            <sz val="10"/>
            <color indexed="81"/>
            <rFont val="Arial"/>
            <family val="2"/>
          </rPr>
          <t>Enter the first year a calf will be sold.</t>
        </r>
      </text>
    </comment>
    <comment ref="C18" authorId="0" shapeId="0">
      <text>
        <r>
          <rPr>
            <sz val="10"/>
            <color indexed="81"/>
            <rFont val="Arial"/>
            <family val="2"/>
          </rPr>
          <t>Enter 1 if there is a marketable calf. Enter 0 if there is NOT a marketable calf (e.g., death loss).
This model assumes that there is a 50/50 chance in any year that the cow will producer a steer or a heifer calf to be marketed.</t>
        </r>
      </text>
    </comment>
    <comment ref="C20" authorId="0" shapeId="0">
      <text>
        <r>
          <rPr>
            <sz val="10"/>
            <color indexed="81"/>
            <rFont val="Arial"/>
            <family val="2"/>
          </rPr>
          <t xml:space="preserve">Enter the expected weaning weights of steer calves that you expect this beef replacement female to produce over her production life.
In this example, calf weights follow a bell-curve pattern as young cows have not yet maximized milk production and older cows tend to taper in their overall productivity. </t>
        </r>
      </text>
    </comment>
    <comment ref="C21" authorId="0" shapeId="0">
      <text>
        <r>
          <rPr>
            <sz val="10"/>
            <color indexed="81"/>
            <rFont val="Arial"/>
            <family val="2"/>
          </rPr>
          <t>Enter the expected steer calf prices in dollars per hundredweight and net of marketing costs.
Example prices are projected calf values based on a combination of USDA, FAPRI, and LMIC projections (Updated 01/26/2016).</t>
        </r>
      </text>
    </comment>
    <comment ref="C23" authorId="0" shapeId="0">
      <text>
        <r>
          <rPr>
            <sz val="10"/>
            <color indexed="81"/>
            <rFont val="Arial"/>
            <family val="2"/>
          </rPr>
          <t xml:space="preserve">Enter the expected weaning weights of heifer calves that you expect this beef replacement female to produce over her production life.
In this example, calf weights follow a bell-curve pattern as young cows have not yet maximized milk production and older cows tend to taper in their overall productivity. </t>
        </r>
      </text>
    </comment>
    <comment ref="C24" authorId="0" shapeId="0">
      <text>
        <r>
          <rPr>
            <sz val="10"/>
            <color indexed="81"/>
            <rFont val="Arial"/>
            <family val="2"/>
          </rPr>
          <t>Enter the expected heifer calf prices in dollars per hundredweight and net of marketing costs.
Example prices are projected calf prices based on a combination of USDA, FAPRI, and LMIC projections (Updated 01/26/2016).</t>
        </r>
      </text>
    </comment>
    <comment ref="C26" authorId="0" shapeId="0">
      <text>
        <r>
          <rPr>
            <sz val="10"/>
            <color indexed="81"/>
            <rFont val="Arial"/>
            <family val="2"/>
          </rPr>
          <t>Enter the weight of the cow when she is culled.  
In this example, we assume mature weight of this herd is 1325 lbs. However, cull weights will likely be lesser for young and old cows.  Specifically, young cows typically do not attain full mature weight until 3+ years of age and older cull cows (presumably culled as a result of being open) are likely of lesser weight due to body condition.</t>
        </r>
      </text>
    </comment>
    <comment ref="C27" authorId="0" shapeId="0">
      <text>
        <r>
          <rPr>
            <sz val="10"/>
            <color indexed="81"/>
            <rFont val="Arial"/>
            <family val="2"/>
          </rPr>
          <t>Enter the expected cull cow price in dollars per hundredweight and net of marketing costs when she is culled.</t>
        </r>
      </text>
    </comment>
    <comment ref="C31" authorId="0" shapeId="0">
      <text>
        <r>
          <rPr>
            <sz val="10"/>
            <color indexed="81"/>
            <rFont val="Arial"/>
            <family val="2"/>
          </rPr>
          <t>Enter the annual cow costs per cow. If replacement female 
is being retained from within the herd enter 0 in the years 
in which heifer development costs are being incurred.  
In this example, annual cow costs are figured for 10 months in the first and last year of production assuming that bred heifers are purchased in February and cull cows are sold in October.
Ag Decision Maker B1-21 (Apr 2015 Beef Cow-Calf)
Approximate costs
  $822 -- Total of all costs
  $638 -- Total variable costs</t>
        </r>
      </text>
    </comment>
    <comment ref="C34" authorId="0" shapeId="0">
      <text>
        <r>
          <rPr>
            <sz val="10"/>
            <color indexed="81"/>
            <rFont val="Arial"/>
            <family val="2"/>
          </rPr>
          <t>Enter the annual heifer development costs per heifer if 
replacement female is being retained from within the herd.  
Ag Decision Maker B1-73 
(Jan 2014 Raising Versus Buying Heifers for Beef Cow Replacement)
Approximate costs
  $1,063 -- Total of all costs
     $840 -- Total variable costs</t>
        </r>
      </text>
    </comment>
    <comment ref="G71" authorId="0" shapeId="0">
      <text>
        <r>
          <rPr>
            <sz val="10"/>
            <color indexed="81"/>
            <rFont val="Arial"/>
            <family val="2"/>
          </rPr>
          <t xml:space="preserve">Annual pre-tax cash flows divided by life of the investment.
</t>
        </r>
      </text>
    </comment>
    <comment ref="O71" authorId="0" shapeId="0">
      <text>
        <r>
          <rPr>
            <sz val="10"/>
            <color indexed="81"/>
            <rFont val="Arial"/>
            <family val="2"/>
          </rPr>
          <t xml:space="preserve">If NPV is positive, the investment is acceptable because the rate of return on future earnings is at least as great as the investors' required rate to accept risk (i.e., discount rate). If NPV is negative, the rate of return is less than the discount rate and the investment is unacceptable. If NPV is zero, the rate of return on the investment equals the discount rate.
Think of it this way: If the NPV is $100, the investment in the replacement female returned the minimum rate PLUS $100. If the NPV is -$100 the investment in the replacement female returned -$100 LESS than the investor's minimum earnings.  </t>
        </r>
      </text>
    </comment>
    <comment ref="G73" authorId="0" shapeId="0">
      <text>
        <r>
          <rPr>
            <sz val="10"/>
            <color indexed="81"/>
            <rFont val="Arial"/>
            <family val="2"/>
          </rPr>
          <t xml:space="preserve">Internal rate of return (IRR) is a measure of the return on investment and takes into account the timing and magnitude of future cash flows.
</t>
        </r>
      </text>
    </comment>
    <comment ref="O73" authorId="0" shapeId="0">
      <text>
        <r>
          <rPr>
            <sz val="10"/>
            <color indexed="81"/>
            <rFont val="Arial"/>
            <family val="2"/>
          </rPr>
          <t xml:space="preserve">The max bid price reflects the amount that could be paid for a replacement female such that the rate of return from the investment would be exactly equal to the discount rate given all the input variables used in the analysis.
This is the bid price that results in the net present value equal to zero.
</t>
        </r>
      </text>
    </comment>
    <comment ref="G75" authorId="0" shapeId="0">
      <text>
        <r>
          <rPr>
            <sz val="10"/>
            <color indexed="81"/>
            <rFont val="Arial"/>
            <family val="2"/>
          </rPr>
          <t>Years until cumulative value of annual pre-tax cash flows exceeds zero.</t>
        </r>
      </text>
    </comment>
    <comment ref="G77" authorId="0" shapeId="0">
      <text>
        <r>
          <rPr>
            <sz val="10"/>
            <color indexed="81"/>
            <rFont val="Arial"/>
            <family val="2"/>
          </rPr>
          <t>Year in which cumulative value of annual pre-tax cash flows exceeds zero.</t>
        </r>
      </text>
    </comment>
  </commentList>
</comments>
</file>

<file path=xl/comments2.xml><?xml version="1.0" encoding="utf-8"?>
<comments xmlns="http://schemas.openxmlformats.org/spreadsheetml/2006/main">
  <authors>
    <author>Schulz, Lee [ECON]</author>
  </authors>
  <commentList>
    <comment ref="C5" authorId="0" shapeId="0">
      <text>
        <r>
          <rPr>
            <sz val="10"/>
            <color indexed="81"/>
            <rFont val="Arial"/>
            <family val="2"/>
          </rPr>
          <t>Place the cursor over cells with red triangles to read comments.</t>
        </r>
      </text>
    </comment>
    <comment ref="F10" authorId="0" shapeId="0">
      <text>
        <r>
          <rPr>
            <sz val="10"/>
            <color indexed="81"/>
            <rFont val="Arial"/>
            <family val="2"/>
          </rPr>
          <t xml:space="preserve">Enter the purchase price of the replacement female. If the replacement female is being retained from within the herd, an opportunity cost is involved with retaining that female, thus, it is suggested that the market value of the female is entered here. 
 </t>
        </r>
      </text>
    </comment>
    <comment ref="L10" authorId="0" shapeId="0">
      <text>
        <r>
          <rPr>
            <sz val="10"/>
            <color indexed="81"/>
            <rFont val="Arial"/>
            <family val="2"/>
          </rPr>
          <t>Enter the number of years you expect this beef replacement female will be able to produce a calf.</t>
        </r>
      </text>
    </comment>
    <comment ref="F11" authorId="0" shapeId="0">
      <text>
        <r>
          <rPr>
            <sz val="10"/>
            <color indexed="81"/>
            <rFont val="Arial"/>
            <family val="2"/>
          </rPr>
          <t>Enter the year the replacement female is purchased or enters your development program (i.e., year weaned).</t>
        </r>
      </text>
    </comment>
    <comment ref="L11" authorId="0" shapeId="0">
      <text>
        <r>
          <rPr>
            <sz val="10"/>
            <color indexed="81"/>
            <rFont val="Arial"/>
            <family val="2"/>
          </rPr>
          <t>Enter a desired rate of return (typically suggest to enter 
a value comparable to interest rates on operating loans). 
A value higher than the loan rate is justified if risk is high.
The discount rate is best thought of as an opportunity cost.  
It is the minimum rate of return the investor is willing to take 
to accept the risk associated with the investment.
If you have a targeted rate of return for investing in replacement 
females, enter that as the discount rate.</t>
        </r>
      </text>
    </comment>
    <comment ref="F12" authorId="0" shapeId="0">
      <text>
        <r>
          <rPr>
            <sz val="10"/>
            <color indexed="81"/>
            <rFont val="Arial"/>
            <family val="2"/>
          </rPr>
          <t>Enter the first year a calf will be sold.</t>
        </r>
      </text>
    </comment>
    <comment ref="C18" authorId="0" shapeId="0">
      <text>
        <r>
          <rPr>
            <sz val="10"/>
            <color indexed="81"/>
            <rFont val="Arial"/>
            <family val="2"/>
          </rPr>
          <t>Enter 1 if there is a marketable calf. Enter 0 if there is NOT a marketable calf (e.g., death loss).
This model assumes that there is a 50/50 chance in any year that the cow will producer a steer or a heifer calf to be marketed.</t>
        </r>
      </text>
    </comment>
    <comment ref="C20" authorId="0" shapeId="0">
      <text>
        <r>
          <rPr>
            <sz val="10"/>
            <color indexed="81"/>
            <rFont val="Arial"/>
            <family val="2"/>
          </rPr>
          <t xml:space="preserve">Enter the expected weaning weights of steer calves that you expect this beef replacement female to produce over her production life.
In this example, calf weights follow a bell-curve pattern as young cows have not yet maximized milk production and older cows tend to taper in their overall productivity. </t>
        </r>
      </text>
    </comment>
    <comment ref="C21" authorId="0" shapeId="0">
      <text>
        <r>
          <rPr>
            <sz val="10"/>
            <color indexed="81"/>
            <rFont val="Arial"/>
            <family val="2"/>
          </rPr>
          <t>Enter the expected steer calf prices in dollars per hundredweight and net of marketing costs.
Example prices are projected calf values based on a combination of USDA, FAPRI, and LMIC projections (Updated 01/26/2016).</t>
        </r>
      </text>
    </comment>
    <comment ref="C23" authorId="0" shapeId="0">
      <text>
        <r>
          <rPr>
            <sz val="10"/>
            <color indexed="81"/>
            <rFont val="Arial"/>
            <family val="2"/>
          </rPr>
          <t xml:space="preserve">Enter the expected weaning weights of heifer calves that you expect this beef replacement female to produce over her production life.
In this example, calf weights follow a bell-curve pattern as young cows have not yet maximized milk production and older cows tend to taper in their overall productivity. </t>
        </r>
      </text>
    </comment>
    <comment ref="C24" authorId="0" shapeId="0">
      <text>
        <r>
          <rPr>
            <sz val="10"/>
            <color indexed="81"/>
            <rFont val="Arial"/>
            <family val="2"/>
          </rPr>
          <t>Enter the expected heifer calf prices in dollars per hundredweight and net of marketing costs.
Example prices are projected calf prices based on a combination of USDA, FAPRI, and LMIC projections (Updated 01/26/2016).</t>
        </r>
      </text>
    </comment>
    <comment ref="C26" authorId="0" shapeId="0">
      <text>
        <r>
          <rPr>
            <sz val="10"/>
            <color indexed="81"/>
            <rFont val="Arial"/>
            <family val="2"/>
          </rPr>
          <t>Enter the weight of the cow when she is culled.  
In this example, we assume mature weight of this herd is 1325 lbs. However, cull weights will likely be lesser for young and old cows.  Specifically, young cows typically do not attain full mature weight until 3+ years of age and older cull cows (presumably culled as a result of being open) are likely of lesser weight due to body condition.</t>
        </r>
      </text>
    </comment>
    <comment ref="C27" authorId="0" shapeId="0">
      <text>
        <r>
          <rPr>
            <sz val="10"/>
            <color indexed="81"/>
            <rFont val="Arial"/>
            <family val="2"/>
          </rPr>
          <t>Enter the expected cull cow price in dollars per hundredweight and net of marketing costs when she is culled.</t>
        </r>
      </text>
    </comment>
    <comment ref="C31" authorId="0" shapeId="0">
      <text>
        <r>
          <rPr>
            <sz val="10"/>
            <color indexed="81"/>
            <rFont val="Arial"/>
            <family val="2"/>
          </rPr>
          <t>Enter the annual cow costs per cow. If replacement female 
is being retained from within the herd enter 0 in the years 
in which heifer development costs are being incurred.  
In this example, annual cow costs are figured for 10 months in the first and last year of production assuming that bred heifers are purchased in February and cull cows are sold in October.
Ag Decision Maker B1-21 (Apr 2015 Beef Cow-Calf)
Approximate costs
  $822 -- Total of all costs
  $638 -- Total variable costs</t>
        </r>
      </text>
    </comment>
    <comment ref="C34" authorId="0" shapeId="0">
      <text>
        <r>
          <rPr>
            <sz val="10"/>
            <color indexed="81"/>
            <rFont val="Arial"/>
            <family val="2"/>
          </rPr>
          <t>Enter the annual heifer development costs per heifer if 
replacement female is being retained from within the herd.  
Ag Decision Maker B1-73 
(Jan 2014 Raising Versus Buying Heifers for Beef Cow Replacement)
Approximate costs
  $1,063 -- Total of all costs
     $840 -- Total variable costs</t>
        </r>
      </text>
    </comment>
    <comment ref="G71" authorId="0" shapeId="0">
      <text>
        <r>
          <rPr>
            <sz val="10"/>
            <color indexed="81"/>
            <rFont val="Arial"/>
            <family val="2"/>
          </rPr>
          <t xml:space="preserve">Annual pre-tax cash flows divided by life of the investment.
</t>
        </r>
      </text>
    </comment>
    <comment ref="O71" authorId="0" shapeId="0">
      <text>
        <r>
          <rPr>
            <sz val="10"/>
            <color indexed="81"/>
            <rFont val="Arial"/>
            <family val="2"/>
          </rPr>
          <t xml:space="preserve">If NPV is positive, the investment is acceptable because the rate of return on future earnings is at least as great as the investors' required rate to accept risk (i.e., discount rate). If NPV is negative, the rate of return is less than the discount rate and the investment is unacceptable. If NPV is zero, the rate of return on the investment equals the discount rate.
Think of it this way: If the NPV is $100, the investment in the replacement female returned the minimum rate PLUS $100. If the NPV is -$100 the investment in the replacement female returned -$100 LESS than the investor's minimum earnings.  </t>
        </r>
      </text>
    </comment>
    <comment ref="G73" authorId="0" shapeId="0">
      <text>
        <r>
          <rPr>
            <sz val="10"/>
            <color indexed="81"/>
            <rFont val="Arial"/>
            <family val="2"/>
          </rPr>
          <t xml:space="preserve">Internal rate of return (IRR) is a measure of the return on investment and takes into account the timing and magnitude of future cash flows.
</t>
        </r>
      </text>
    </comment>
    <comment ref="O73" authorId="0" shapeId="0">
      <text>
        <r>
          <rPr>
            <sz val="10"/>
            <color indexed="81"/>
            <rFont val="Arial"/>
            <family val="2"/>
          </rPr>
          <t xml:space="preserve">The max bid price reflects the amount that could be paid for a replacement female such that the rate of return from the investment would be exactly equal to the discount rate given all the input variables used in the analysis.
This is the bid price that results in the net present value equal to zero.
</t>
        </r>
      </text>
    </comment>
    <comment ref="G75" authorId="0" shapeId="0">
      <text>
        <r>
          <rPr>
            <sz val="10"/>
            <color indexed="81"/>
            <rFont val="Arial"/>
            <family val="2"/>
          </rPr>
          <t>Years until cumulative value of annual pre-tax cash flows exceeds zero.</t>
        </r>
      </text>
    </comment>
    <comment ref="G77" authorId="0" shapeId="0">
      <text>
        <r>
          <rPr>
            <sz val="10"/>
            <color indexed="81"/>
            <rFont val="Arial"/>
            <family val="2"/>
          </rPr>
          <t>Year in which cumulative value of annual pre-tax cash flows exceeds zero.</t>
        </r>
      </text>
    </comment>
  </commentList>
</comments>
</file>

<file path=xl/sharedStrings.xml><?xml version="1.0" encoding="utf-8"?>
<sst xmlns="http://schemas.openxmlformats.org/spreadsheetml/2006/main" count="190" uniqueCount="71">
  <si>
    <t>Ag Decision Maker -- Iowa State University Extension and Outreach</t>
  </si>
  <si>
    <t>Place the cursor over cells with red triangles to read comments.</t>
  </si>
  <si>
    <t>Year of purchase</t>
  </si>
  <si>
    <t>First year for calf sales</t>
  </si>
  <si>
    <t>Expected calving opportunities, years</t>
  </si>
  <si>
    <t>Year</t>
  </si>
  <si>
    <t>Steer calf weight, lbs</t>
  </si>
  <si>
    <t>Steer calf price, $/cwt</t>
  </si>
  <si>
    <t>Heifer calf weight, lbs</t>
  </si>
  <si>
    <t>Heifer calf price, $/cwt</t>
  </si>
  <si>
    <t>Cull cow weight, lbs</t>
  </si>
  <si>
    <t>Cull cow price, $/cwt</t>
  </si>
  <si>
    <t>Gross receipts (calf sales)</t>
  </si>
  <si>
    <t>Net cash flow</t>
  </si>
  <si>
    <t>Cull cow salvage value</t>
  </si>
  <si>
    <t>Purchase and Financing</t>
  </si>
  <si>
    <t>Production and Prices</t>
  </si>
  <si>
    <t>Income above annual</t>
  </si>
  <si>
    <t>Initial</t>
  </si>
  <si>
    <t>Present value of annual</t>
  </si>
  <si>
    <t>Discount factor (risk rate), %</t>
  </si>
  <si>
    <t>Year 1</t>
  </si>
  <si>
    <t>Year 2</t>
  </si>
  <si>
    <t>Year 3</t>
  </si>
  <si>
    <t>Year 4</t>
  </si>
  <si>
    <t>Year 5</t>
  </si>
  <si>
    <t>Year 6</t>
  </si>
  <si>
    <t>Year 7</t>
  </si>
  <si>
    <t>Year 8</t>
  </si>
  <si>
    <t>Year 9</t>
  </si>
  <si>
    <t>Year 10</t>
  </si>
  <si>
    <t>Year 11</t>
  </si>
  <si>
    <t>Cumulative value of annual</t>
  </si>
  <si>
    <t>Nominal Cash Flows</t>
  </si>
  <si>
    <t>Discounted Cash Flows</t>
  </si>
  <si>
    <t>Contact: Lee Schulz</t>
  </si>
  <si>
    <t>Date Printed:</t>
  </si>
  <si>
    <t>. . . and justice for all</t>
  </si>
  <si>
    <t>Net Present Value of Beef Replacement Females</t>
  </si>
  <si>
    <t>Purchase price of replacement female, $/head</t>
  </si>
  <si>
    <t>Profitability Indicators</t>
  </si>
  <si>
    <t>Average annual pre-tax cash flows …………………………..</t>
  </si>
  <si>
    <t>Internal rate of return (IRR) ……………………………………</t>
  </si>
  <si>
    <t>Payback period, years …………………………………………</t>
  </si>
  <si>
    <t>Payback year ……………………………………………………</t>
  </si>
  <si>
    <t>Nominal (undiscounted):</t>
  </si>
  <si>
    <t>Preferred (discounted):</t>
  </si>
  <si>
    <t>Net present value (NPV) ……...……………………………………</t>
  </si>
  <si>
    <t>Annual heifer development</t>
  </si>
  <si>
    <t>costs, $/head</t>
  </si>
  <si>
    <t>costs, $/year</t>
  </si>
  <si>
    <t>Annual cow costs, $/head</t>
  </si>
  <si>
    <t>Enter your input values in shaded cells. If zero, enter 0.</t>
  </si>
  <si>
    <t>Cumulative present value of</t>
  </si>
  <si>
    <r>
      <t xml:space="preserve">For more information see </t>
    </r>
    <r>
      <rPr>
        <u/>
        <sz val="10"/>
        <color rgb="FFC00000"/>
        <rFont val="Arial"/>
        <family val="2"/>
      </rPr>
      <t>File B1-74, Net Present Value of Beef Replacement Females</t>
    </r>
  </si>
  <si>
    <t>Marketable calf, 0/1</t>
  </si>
  <si>
    <t>Annual pre-tax cash flows,</t>
  </si>
  <si>
    <t>calves + cull cow</t>
  </si>
  <si>
    <t>calves</t>
  </si>
  <si>
    <t>pre-tax cash flows,</t>
  </si>
  <si>
    <t>annual pre-tax cash flows,</t>
  </si>
  <si>
    <t>Calving opportunity, Yes/No</t>
  </si>
  <si>
    <t>Version 1.3</t>
  </si>
  <si>
    <t>Year 12</t>
  </si>
  <si>
    <t>Year 13</t>
  </si>
  <si>
    <t>Year 14</t>
  </si>
  <si>
    <t>Year 15</t>
  </si>
  <si>
    <t>Clear your input values if cells NOT shaded.</t>
  </si>
  <si>
    <t>Maximum bid price for replacement female to yield risk rate ….</t>
  </si>
  <si>
    <t>Iowa State University Extension and Outreach does not discriminate on the basis of age, disability, ethnicity, gender identity, genetic information, marital status, national origin, pregnancy, race, religion, sex, sexual orientation, socioeconomic status, or status as a U.S. veteran. (Not all prohibited bases apply to all programs.) Inquiries regarding non-discrimination policies may be directed to Ross Wilburn, Diversity Officer, 2150 Beardshear Hall, 515 Morrill Road, Ames, Iowa 50011, 515-294-1482, wilburn@iastate.edu.</t>
  </si>
  <si>
    <t>Purchase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</si>
</sst>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0.0%"/>
    <numFmt numFmtId="165" formatCode="&quot;$&quot;#,##0.00"/>
    <numFmt numFmtId="166" formatCode="&quot;$&quot;#,##0"/>
  </numFmts>
  <fonts count="31">
    <font>
      <sz val="11"/>
      <color theme="1"/>
      <name val="Calibri"/>
      <family val="2"/>
      <scheme val="minor"/>
    </font>
    <font>
      <sz val="10"/>
      <color theme="1"/>
      <name val="Arial"/>
      <family val="2"/>
    </font>
    <font>
      <sz val="10"/>
      <name val="Arial"/>
      <family val="2"/>
    </font>
    <font>
      <sz val="10"/>
      <name val="Arial"/>
      <family val="2"/>
    </font>
    <font>
      <b/>
      <sz val="10"/>
      <name val="Arial"/>
      <family val="2"/>
    </font>
    <font>
      <sz val="11"/>
      <color theme="1"/>
      <name val="Arial"/>
      <family val="2"/>
    </font>
    <font>
      <u/>
      <sz val="6"/>
      <color indexed="12"/>
      <name val="Courier"/>
      <family val="3"/>
    </font>
    <font>
      <u/>
      <sz val="12"/>
      <color theme="10"/>
      <name val="Arial"/>
      <family val="2"/>
    </font>
    <font>
      <sz val="10"/>
      <name val="Arial"/>
      <family val="2"/>
    </font>
    <font>
      <b/>
      <sz val="14"/>
      <color indexed="9"/>
      <name val="Arial"/>
      <family val="2"/>
    </font>
    <font>
      <b/>
      <sz val="11"/>
      <color indexed="63"/>
      <name val="Arial"/>
      <family val="2"/>
    </font>
    <font>
      <sz val="9"/>
      <name val="Arial"/>
      <family val="2"/>
    </font>
    <font>
      <sz val="6"/>
      <color indexed="63"/>
      <name val="Arial"/>
      <family val="2"/>
    </font>
    <font>
      <u/>
      <sz val="10"/>
      <color indexed="12"/>
      <name val="Arial"/>
      <family val="2"/>
    </font>
    <font>
      <u/>
      <sz val="10"/>
      <color indexed="45"/>
      <name val="Arial"/>
      <family val="2"/>
    </font>
    <font>
      <sz val="6"/>
      <name val="Arial"/>
      <family val="2"/>
    </font>
    <font>
      <sz val="10"/>
      <name val="Arial"/>
      <family val="2"/>
    </font>
    <font>
      <sz val="11"/>
      <color theme="1"/>
      <name val="Calibri"/>
      <family val="2"/>
      <scheme val="minor"/>
    </font>
    <font>
      <sz val="10"/>
      <color theme="1"/>
      <name val="Arial"/>
      <family val="2"/>
    </font>
    <font>
      <sz val="10"/>
      <color indexed="81"/>
      <name val="Arial"/>
      <family val="2"/>
    </font>
    <font>
      <b/>
      <u/>
      <sz val="10"/>
      <name val="Arial"/>
      <family val="2"/>
    </font>
    <font>
      <sz val="12"/>
      <name val="Arial"/>
      <family val="2"/>
    </font>
    <font>
      <u/>
      <sz val="14.4"/>
      <color indexed="12"/>
      <name val="Arial"/>
      <family val="2"/>
    </font>
    <font>
      <sz val="12"/>
      <name val="Arial"/>
      <family val="2"/>
    </font>
    <font>
      <sz val="12"/>
      <name val="Arial MT"/>
    </font>
    <font>
      <u/>
      <sz val="10"/>
      <color theme="1"/>
      <name val="Arial"/>
      <family val="2"/>
    </font>
    <font>
      <b/>
      <u/>
      <sz val="10"/>
      <color theme="1"/>
      <name val="Arial"/>
      <family val="2"/>
    </font>
    <font>
      <u/>
      <sz val="10"/>
      <color rgb="FFC00000"/>
      <name val="Arial"/>
      <family val="2"/>
    </font>
    <font>
      <u/>
      <sz val="11"/>
      <color theme="10"/>
      <name val="Calibri"/>
      <family val="2"/>
      <scheme val="minor"/>
    </font>
    <font>
      <u/>
      <sz val="11"/>
      <color rgb="FFC00000"/>
      <name val="Arial"/>
      <family val="2"/>
    </font>
    <font>
      <b/>
      <sz val="10"/>
      <color theme="1"/>
      <name val="Arial"/>
      <family val="2"/>
    </font>
  </fonts>
  <fills count="9">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bgColor indexed="54"/>
      </patternFill>
    </fill>
    <fill>
      <patternFill patternType="solid">
        <fgColor indexed="9"/>
        <bgColor indexed="64"/>
      </patternFill>
    </fill>
    <fill>
      <patternFill patternType="solid">
        <fgColor theme="2" tint="-9.9978637043366805E-2"/>
        <bgColor indexed="64"/>
      </patternFill>
    </fill>
    <fill>
      <patternFill patternType="solid">
        <fgColor theme="2" tint="-9.9978637043366805E-2"/>
        <bgColor indexed="5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2" tint="-9.9948118533890809E-2"/>
      </bottom>
      <diagonal/>
    </border>
  </borders>
  <cellStyleXfs count="23">
    <xf numFmtId="0" fontId="0" fillId="0" borderId="0"/>
    <xf numFmtId="0" fontId="2" fillId="0" borderId="0"/>
    <xf numFmtId="9" fontId="2" fillId="0" borderId="0" applyFont="0" applyFill="0" applyBorder="0" applyAlignment="0" applyProtection="0"/>
    <xf numFmtId="0" fontId="3" fillId="0" borderId="0"/>
    <xf numFmtId="0" fontId="6" fillId="0" borderId="0" applyNumberFormat="0" applyFill="0" applyBorder="0" applyAlignment="0" applyProtection="0">
      <alignment vertical="top"/>
      <protection locked="0"/>
    </xf>
    <xf numFmtId="9" fontId="3"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0" fontId="13" fillId="0" borderId="0" applyNumberFormat="0" applyFill="0" applyBorder="0" applyAlignment="0" applyProtection="0">
      <alignment vertical="top"/>
      <protection locked="0"/>
    </xf>
    <xf numFmtId="0" fontId="16" fillId="0" borderId="0"/>
    <xf numFmtId="44" fontId="16"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0" fontId="21" fillId="0" borderId="0"/>
    <xf numFmtId="44" fontId="23" fillId="0" borderId="0" applyFont="0" applyFill="0" applyBorder="0" applyAlignment="0" applyProtection="0"/>
    <xf numFmtId="0" fontId="2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4" fillId="0" borderId="0"/>
    <xf numFmtId="43" fontId="2" fillId="0" borderId="0" applyFont="0" applyFill="0" applyBorder="0" applyAlignment="0" applyProtection="0"/>
    <xf numFmtId="0" fontId="28" fillId="0" borderId="0" applyNumberFormat="0" applyFill="0" applyBorder="0" applyAlignment="0" applyProtection="0"/>
  </cellStyleXfs>
  <cellXfs count="115">
    <xf numFmtId="0" fontId="0" fillId="0" borderId="0" xfId="0"/>
    <xf numFmtId="0" fontId="11" fillId="2" borderId="0" xfId="0" applyFont="1" applyFill="1" applyBorder="1" applyAlignment="1" applyProtection="1">
      <alignment horizontal="left"/>
    </xf>
    <xf numFmtId="0" fontId="11" fillId="2" borderId="0" xfId="0" applyFont="1" applyFill="1" applyBorder="1" applyAlignment="1" applyProtection="1"/>
    <xf numFmtId="0" fontId="2" fillId="0" borderId="0" xfId="1" applyFont="1" applyBorder="1" applyProtection="1"/>
    <xf numFmtId="0" fontId="14" fillId="0" borderId="0" xfId="11" applyFont="1" applyBorder="1" applyAlignment="1" applyProtection="1">
      <alignment horizontal="left"/>
    </xf>
    <xf numFmtId="14" fontId="2" fillId="0" borderId="0" xfId="1" applyNumberFormat="1" applyFont="1" applyBorder="1" applyAlignment="1" applyProtection="1">
      <alignment horizontal="left"/>
    </xf>
    <xf numFmtId="0" fontId="12" fillId="0" borderId="0" xfId="1" applyFont="1" applyBorder="1" applyAlignment="1" applyProtection="1">
      <alignment horizontal="left"/>
    </xf>
    <xf numFmtId="0" fontId="15" fillId="0" borderId="0" xfId="1" applyFont="1" applyBorder="1" applyProtection="1"/>
    <xf numFmtId="0" fontId="2" fillId="2" borderId="0" xfId="0" applyFont="1" applyFill="1" applyBorder="1" applyAlignment="1" applyProtection="1">
      <alignment horizontal="left"/>
    </xf>
    <xf numFmtId="0" fontId="2" fillId="0" borderId="0" xfId="0" applyFont="1" applyBorder="1" applyAlignment="1" applyProtection="1"/>
    <xf numFmtId="0" fontId="2" fillId="0" borderId="0" xfId="1" applyFont="1" applyBorder="1" applyAlignment="1" applyProtection="1">
      <alignment horizontal="left"/>
    </xf>
    <xf numFmtId="0" fontId="4" fillId="0" borderId="0" xfId="1" applyFont="1" applyBorder="1" applyAlignment="1" applyProtection="1"/>
    <xf numFmtId="0" fontId="20" fillId="2" borderId="0" xfId="0" applyFont="1" applyFill="1" applyBorder="1" applyAlignment="1" applyProtection="1">
      <alignment horizontal="left"/>
    </xf>
    <xf numFmtId="0" fontId="2" fillId="5" borderId="0" xfId="16" applyNumberFormat="1" applyFont="1" applyFill="1" applyBorder="1" applyAlignment="1" applyProtection="1">
      <alignment vertical="center"/>
    </xf>
    <xf numFmtId="0" fontId="2" fillId="2" borderId="0" xfId="0" applyFont="1" applyFill="1" applyBorder="1" applyAlignment="1" applyProtection="1">
      <alignment horizontal="center"/>
    </xf>
    <xf numFmtId="0" fontId="2" fillId="5" borderId="0" xfId="16" applyNumberFormat="1" applyFont="1" applyFill="1" applyBorder="1" applyAlignment="1" applyProtection="1">
      <alignment horizontal="left" vertical="center"/>
    </xf>
    <xf numFmtId="0" fontId="2" fillId="2" borderId="0" xfId="16" applyNumberFormat="1" applyFont="1" applyFill="1" applyBorder="1" applyAlignment="1" applyProtection="1">
      <alignment horizontal="center" vertical="center"/>
    </xf>
    <xf numFmtId="165" fontId="2" fillId="2" borderId="0" xfId="16" applyNumberFormat="1" applyFont="1" applyFill="1" applyBorder="1" applyAlignment="1" applyProtection="1">
      <alignment horizontal="center" vertical="center"/>
    </xf>
    <xf numFmtId="0" fontId="4" fillId="0" borderId="0" xfId="1" applyFont="1" applyFill="1" applyBorder="1" applyAlignment="1" applyProtection="1"/>
    <xf numFmtId="0" fontId="27" fillId="0" borderId="0" xfId="11" applyFont="1" applyBorder="1" applyAlignment="1" applyProtection="1">
      <alignment horizontal="left"/>
    </xf>
    <xf numFmtId="0" fontId="2" fillId="0" borderId="0" xfId="11" applyFont="1" applyBorder="1" applyAlignment="1" applyProtection="1">
      <alignment horizontal="left"/>
    </xf>
    <xf numFmtId="164" fontId="2" fillId="2" borderId="0" xfId="0" applyNumberFormat="1" applyFont="1" applyFill="1" applyBorder="1" applyAlignment="1" applyProtection="1">
      <alignment horizontal="right"/>
    </xf>
    <xf numFmtId="0" fontId="2" fillId="8" borderId="1" xfId="16" applyNumberFormat="1" applyFont="1" applyFill="1" applyBorder="1" applyAlignment="1" applyProtection="1">
      <alignment horizontal="right" vertical="center"/>
      <protection locked="0"/>
    </xf>
    <xf numFmtId="0" fontId="2" fillId="8" borderId="1" xfId="15" applyNumberFormat="1" applyFont="1" applyFill="1" applyBorder="1" applyAlignment="1" applyProtection="1">
      <alignment horizontal="right" vertical="center"/>
      <protection locked="0"/>
    </xf>
    <xf numFmtId="166" fontId="2" fillId="8" borderId="1" xfId="16" applyNumberFormat="1" applyFont="1" applyFill="1" applyBorder="1" applyAlignment="1" applyProtection="1">
      <alignment vertical="center"/>
      <protection locked="0"/>
    </xf>
    <xf numFmtId="164" fontId="2" fillId="8" borderId="1" xfId="0" applyNumberFormat="1" applyFont="1" applyFill="1" applyBorder="1" applyAlignment="1" applyProtection="1">
      <alignment horizontal="right"/>
      <protection locked="0"/>
    </xf>
    <xf numFmtId="0" fontId="14" fillId="0" borderId="0" xfId="11" applyFont="1" applyBorder="1" applyAlignment="1" applyProtection="1">
      <alignment horizontal="left" indent="1"/>
    </xf>
    <xf numFmtId="0" fontId="29" fillId="0" borderId="0" xfId="22" applyFont="1" applyBorder="1" applyAlignment="1" applyProtection="1">
      <alignment horizontal="left"/>
    </xf>
    <xf numFmtId="166" fontId="2" fillId="0" borderId="0" xfId="1" applyNumberFormat="1" applyFont="1" applyBorder="1" applyAlignment="1" applyProtection="1">
      <alignment horizontal="right" indent="1" shrinkToFit="1"/>
    </xf>
    <xf numFmtId="0" fontId="2" fillId="2" borderId="0" xfId="0" applyFont="1" applyFill="1" applyBorder="1" applyAlignment="1" applyProtection="1">
      <alignment horizontal="left" shrinkToFit="1"/>
    </xf>
    <xf numFmtId="0" fontId="2" fillId="8" borderId="1" xfId="0" applyFont="1" applyFill="1" applyBorder="1" applyAlignment="1" applyProtection="1">
      <alignment horizontal="center" shrinkToFit="1"/>
      <protection locked="0"/>
    </xf>
    <xf numFmtId="165" fontId="2" fillId="8" borderId="1" xfId="0" applyNumberFormat="1" applyFont="1" applyFill="1" applyBorder="1" applyAlignment="1" applyProtection="1">
      <alignment horizontal="center" shrinkToFit="1"/>
      <protection locked="0"/>
    </xf>
    <xf numFmtId="0" fontId="2" fillId="8" borderId="1" xfId="0" applyNumberFormat="1" applyFont="1" applyFill="1" applyBorder="1" applyAlignment="1" applyProtection="1">
      <alignment horizontal="center" shrinkToFit="1"/>
      <protection locked="0"/>
    </xf>
    <xf numFmtId="165" fontId="2" fillId="2" borderId="0" xfId="0" applyNumberFormat="1" applyFont="1" applyFill="1" applyBorder="1" applyAlignment="1" applyProtection="1">
      <alignment horizontal="center" shrinkToFit="1"/>
    </xf>
    <xf numFmtId="166" fontId="2" fillId="2" borderId="0" xfId="0" quotePrefix="1" applyNumberFormat="1" applyFont="1" applyFill="1" applyBorder="1" applyAlignment="1" applyProtection="1">
      <alignment horizontal="center" shrinkToFit="1"/>
    </xf>
    <xf numFmtId="166" fontId="2" fillId="8" borderId="1" xfId="0" applyNumberFormat="1" applyFont="1" applyFill="1" applyBorder="1" applyAlignment="1" applyProtection="1">
      <alignment horizontal="center" shrinkToFit="1"/>
      <protection locked="0"/>
    </xf>
    <xf numFmtId="6" fontId="2" fillId="2" borderId="0" xfId="0" applyNumberFormat="1" applyFont="1" applyFill="1" applyBorder="1" applyAlignment="1" applyProtection="1">
      <alignment horizontal="center" shrinkToFit="1"/>
    </xf>
    <xf numFmtId="6" fontId="2" fillId="2" borderId="0" xfId="0" quotePrefix="1" applyNumberFormat="1" applyFont="1" applyFill="1" applyBorder="1" applyAlignment="1" applyProtection="1">
      <alignment horizontal="center" shrinkToFit="1"/>
    </xf>
    <xf numFmtId="0" fontId="2" fillId="2" borderId="3" xfId="0" applyFont="1" applyFill="1" applyBorder="1" applyAlignment="1" applyProtection="1">
      <alignment horizontal="left"/>
    </xf>
    <xf numFmtId="0" fontId="2" fillId="2" borderId="4" xfId="0" applyFont="1" applyFill="1" applyBorder="1" applyAlignment="1" applyProtection="1">
      <alignment horizontal="left"/>
    </xf>
    <xf numFmtId="0" fontId="2" fillId="2" borderId="2" xfId="0" applyFont="1" applyFill="1" applyBorder="1" applyAlignment="1" applyProtection="1">
      <alignment horizontal="left"/>
    </xf>
    <xf numFmtId="0" fontId="12" fillId="0" borderId="0" xfId="1" applyFont="1" applyBorder="1" applyAlignment="1" applyProtection="1">
      <alignment horizontal="left" vertical="top" wrapText="1"/>
    </xf>
    <xf numFmtId="0" fontId="18" fillId="8" borderId="1" xfId="15" applyNumberFormat="1" applyFont="1" applyFill="1" applyBorder="1" applyAlignment="1" applyProtection="1">
      <alignment horizontal="center" shrinkToFit="1"/>
      <protection locked="0"/>
    </xf>
    <xf numFmtId="0" fontId="9" fillId="3" borderId="6" xfId="0" applyFont="1" applyFill="1" applyBorder="1" applyAlignment="1" applyProtection="1"/>
    <xf numFmtId="0" fontId="2" fillId="7" borderId="0" xfId="0" applyFont="1" applyFill="1" applyProtection="1"/>
    <xf numFmtId="0" fontId="2" fillId="0" borderId="0" xfId="0" applyFont="1" applyFill="1" applyProtection="1"/>
    <xf numFmtId="0" fontId="10" fillId="0" borderId="0" xfId="0" applyFont="1" applyProtection="1"/>
    <xf numFmtId="0" fontId="4" fillId="0" borderId="0" xfId="0" applyFont="1" applyProtection="1"/>
    <xf numFmtId="0" fontId="2" fillId="0" borderId="0" xfId="0" applyFont="1" applyProtection="1"/>
    <xf numFmtId="0" fontId="2" fillId="0" borderId="0" xfId="22" applyFont="1" applyProtection="1"/>
    <xf numFmtId="0" fontId="2" fillId="4" borderId="0" xfId="0" applyFont="1" applyFill="1" applyProtection="1"/>
    <xf numFmtId="0" fontId="0" fillId="7" borderId="0" xfId="0" applyFill="1" applyProtection="1"/>
    <xf numFmtId="0" fontId="0" fillId="0" borderId="0" xfId="0" applyFill="1" applyProtection="1"/>
    <xf numFmtId="0" fontId="0" fillId="0" borderId="0" xfId="0" applyProtection="1"/>
    <xf numFmtId="0" fontId="18" fillId="7" borderId="0" xfId="0" applyFont="1" applyFill="1" applyProtection="1"/>
    <xf numFmtId="0" fontId="18" fillId="0" borderId="0" xfId="0" applyFont="1" applyFill="1" applyProtection="1"/>
    <xf numFmtId="0" fontId="18" fillId="0" borderId="0" xfId="0" applyFont="1" applyProtection="1"/>
    <xf numFmtId="0" fontId="26" fillId="0" borderId="0" xfId="0" applyFont="1" applyProtection="1"/>
    <xf numFmtId="0" fontId="18" fillId="2" borderId="0" xfId="0" applyFont="1" applyFill="1" applyBorder="1" applyAlignment="1" applyProtection="1">
      <alignment horizontal="center"/>
    </xf>
    <xf numFmtId="0" fontId="18" fillId="0" borderId="0" xfId="0" applyFont="1" applyAlignment="1" applyProtection="1">
      <alignment horizontal="center"/>
    </xf>
    <xf numFmtId="0" fontId="1" fillId="0" borderId="0" xfId="0" applyFont="1" applyProtection="1"/>
    <xf numFmtId="0" fontId="18" fillId="4" borderId="0" xfId="0" applyFont="1" applyFill="1" applyAlignment="1" applyProtection="1">
      <alignment horizontal="center"/>
    </xf>
    <xf numFmtId="0" fontId="18" fillId="4" borderId="0" xfId="0" applyFont="1" applyFill="1" applyProtection="1"/>
    <xf numFmtId="0" fontId="18" fillId="2" borderId="0" xfId="0" applyFont="1" applyFill="1" applyBorder="1" applyAlignment="1" applyProtection="1">
      <alignment shrinkToFit="1"/>
    </xf>
    <xf numFmtId="0" fontId="1" fillId="2" borderId="0" xfId="0" applyFont="1" applyFill="1" applyBorder="1" applyAlignment="1" applyProtection="1">
      <alignment shrinkToFit="1"/>
    </xf>
    <xf numFmtId="0" fontId="18" fillId="0" borderId="0" xfId="0" applyFont="1" applyAlignment="1" applyProtection="1">
      <alignment shrinkToFit="1"/>
    </xf>
    <xf numFmtId="0" fontId="18" fillId="0" borderId="0" xfId="0" applyFont="1" applyAlignment="1" applyProtection="1">
      <alignment horizontal="center" shrinkToFit="1"/>
    </xf>
    <xf numFmtId="0" fontId="25" fillId="0" borderId="0" xfId="0" applyFont="1" applyAlignment="1" applyProtection="1">
      <alignment horizontal="center"/>
    </xf>
    <xf numFmtId="0" fontId="25" fillId="0" borderId="0" xfId="0" applyFont="1" applyAlignment="1" applyProtection="1">
      <alignment horizontal="center" shrinkToFit="1"/>
    </xf>
    <xf numFmtId="0" fontId="2" fillId="5" borderId="0" xfId="1" applyFont="1" applyFill="1" applyAlignment="1" applyProtection="1">
      <alignment horizontal="left"/>
    </xf>
    <xf numFmtId="0" fontId="1" fillId="0" borderId="0" xfId="0" applyFont="1" applyAlignment="1" applyProtection="1">
      <alignment horizontal="left" indent="2"/>
    </xf>
    <xf numFmtId="6" fontId="2" fillId="5" borderId="0" xfId="1" applyNumberFormat="1" applyFont="1" applyFill="1" applyAlignment="1" applyProtection="1">
      <alignment horizontal="center" shrinkToFit="1"/>
    </xf>
    <xf numFmtId="0" fontId="2" fillId="5" borderId="0" xfId="1" applyFont="1" applyFill="1" applyAlignment="1" applyProtection="1">
      <alignment horizontal="left" indent="2"/>
    </xf>
    <xf numFmtId="0" fontId="1" fillId="4" borderId="0" xfId="0" applyFont="1" applyFill="1" applyProtection="1"/>
    <xf numFmtId="6" fontId="1" fillId="4" borderId="0" xfId="0" quotePrefix="1" applyNumberFormat="1" applyFont="1" applyFill="1" applyAlignment="1" applyProtection="1">
      <alignment horizontal="center" shrinkToFit="1"/>
    </xf>
    <xf numFmtId="0" fontId="1" fillId="4" borderId="0" xfId="0" applyFont="1" applyFill="1" applyAlignment="1" applyProtection="1">
      <alignment horizontal="left" indent="2"/>
    </xf>
    <xf numFmtId="0" fontId="18" fillId="4" borderId="0" xfId="0" applyFont="1" applyFill="1" applyAlignment="1" applyProtection="1">
      <alignment shrinkToFit="1"/>
    </xf>
    <xf numFmtId="0" fontId="26" fillId="4" borderId="0" xfId="0" applyFont="1" applyFill="1" applyProtection="1"/>
    <xf numFmtId="0" fontId="18" fillId="4" borderId="0" xfId="0" applyFont="1" applyFill="1" applyAlignment="1" applyProtection="1">
      <alignment horizontal="center" shrinkToFit="1"/>
    </xf>
    <xf numFmtId="6" fontId="18" fillId="4" borderId="0" xfId="0" applyNumberFormat="1" applyFont="1" applyFill="1" applyAlignment="1" applyProtection="1">
      <alignment horizontal="center" shrinkToFit="1"/>
    </xf>
    <xf numFmtId="6" fontId="2" fillId="5" borderId="0" xfId="1" quotePrefix="1" applyNumberFormat="1" applyFont="1" applyFill="1" applyBorder="1" applyAlignment="1" applyProtection="1">
      <alignment horizontal="center" shrinkToFit="1"/>
    </xf>
    <xf numFmtId="0" fontId="18" fillId="7" borderId="0" xfId="0" applyFont="1" applyFill="1" applyBorder="1" applyProtection="1"/>
    <xf numFmtId="0" fontId="18" fillId="0" borderId="0" xfId="0" applyFont="1" applyFill="1" applyBorder="1" applyProtection="1"/>
    <xf numFmtId="0" fontId="18" fillId="0" borderId="0" xfId="0" applyFont="1" applyBorder="1" applyProtection="1"/>
    <xf numFmtId="165" fontId="18" fillId="0" borderId="0" xfId="0" applyNumberFormat="1" applyFont="1" applyAlignment="1" applyProtection="1">
      <alignment horizontal="right" indent="1" shrinkToFit="1"/>
    </xf>
    <xf numFmtId="166" fontId="2" fillId="0" borderId="0" xfId="1" applyNumberFormat="1" applyFont="1" applyFill="1" applyAlignment="1" applyProtection="1">
      <alignment horizontal="right" vertical="center" indent="1" shrinkToFit="1"/>
    </xf>
    <xf numFmtId="0" fontId="2" fillId="5" borderId="0" xfId="1" applyFont="1" applyFill="1" applyBorder="1" applyAlignment="1" applyProtection="1">
      <alignment horizontal="left"/>
    </xf>
    <xf numFmtId="0" fontId="18" fillId="0" borderId="0" xfId="0" applyFont="1" applyAlignment="1" applyProtection="1">
      <alignment horizontal="left" indent="1"/>
    </xf>
    <xf numFmtId="0" fontId="18" fillId="0" borderId="0" xfId="0" applyFont="1" applyAlignment="1" applyProtection="1">
      <alignment horizontal="right" indent="1" shrinkToFit="1"/>
    </xf>
    <xf numFmtId="0" fontId="2" fillId="5" borderId="0" xfId="1" applyFont="1" applyFill="1" applyAlignment="1" applyProtection="1">
      <alignment horizontal="left" vertical="center" indent="2"/>
    </xf>
    <xf numFmtId="0" fontId="0" fillId="0" borderId="0" xfId="0" applyBorder="1" applyAlignment="1" applyProtection="1">
      <alignment horizontal="left" indent="1"/>
    </xf>
    <xf numFmtId="0" fontId="18" fillId="0" borderId="0" xfId="0" applyFont="1" applyBorder="1" applyAlignment="1" applyProtection="1">
      <alignment horizontal="left" indent="1"/>
    </xf>
    <xf numFmtId="164" fontId="2" fillId="5" borderId="0" xfId="1" quotePrefix="1" applyNumberFormat="1" applyFont="1" applyFill="1" applyAlignment="1" applyProtection="1">
      <alignment horizontal="right" indent="1" shrinkToFit="1"/>
    </xf>
    <xf numFmtId="1" fontId="2" fillId="5" borderId="0" xfId="1" quotePrefix="1" applyNumberFormat="1" applyFont="1" applyFill="1" applyAlignment="1" applyProtection="1">
      <alignment horizontal="right" indent="1" shrinkToFit="1"/>
    </xf>
    <xf numFmtId="0" fontId="0" fillId="0" borderId="0" xfId="0" applyBorder="1" applyProtection="1"/>
    <xf numFmtId="1" fontId="2" fillId="5" borderId="0" xfId="1" applyNumberFormat="1" applyFont="1" applyFill="1" applyAlignment="1" applyProtection="1">
      <alignment horizontal="right" indent="1" shrinkToFit="1"/>
    </xf>
    <xf numFmtId="0" fontId="0" fillId="7" borderId="0" xfId="0" applyFill="1" applyBorder="1" applyProtection="1"/>
    <xf numFmtId="0" fontId="0" fillId="0" borderId="0" xfId="0" applyFill="1" applyBorder="1" applyProtection="1"/>
    <xf numFmtId="0" fontId="5" fillId="2" borderId="0" xfId="0" applyFont="1" applyFill="1" applyProtection="1"/>
    <xf numFmtId="0" fontId="5" fillId="2" borderId="0" xfId="0" applyFont="1" applyFill="1" applyBorder="1" applyProtection="1"/>
    <xf numFmtId="0" fontId="5" fillId="6" borderId="0" xfId="0" applyFont="1" applyFill="1" applyProtection="1"/>
    <xf numFmtId="0" fontId="5" fillId="0" borderId="0" xfId="0" applyFont="1" applyFill="1" applyProtection="1"/>
    <xf numFmtId="2" fontId="2" fillId="5" borderId="0" xfId="1" applyNumberFormat="1" applyFont="1" applyFill="1" applyBorder="1" applyAlignment="1" applyProtection="1">
      <alignment horizontal="left" vertical="center" indent="1"/>
    </xf>
    <xf numFmtId="165" fontId="2" fillId="0" borderId="0" xfId="1" applyNumberFormat="1" applyFont="1" applyFill="1" applyBorder="1" applyAlignment="1" applyProtection="1"/>
    <xf numFmtId="0" fontId="0" fillId="4" borderId="0" xfId="0" applyFill="1" applyBorder="1" applyProtection="1"/>
    <xf numFmtId="0" fontId="12" fillId="0" borderId="0" xfId="1" applyFont="1" applyBorder="1" applyAlignment="1" applyProtection="1">
      <alignment horizontal="left" vertical="top" wrapText="1"/>
    </xf>
    <xf numFmtId="0" fontId="30" fillId="0" borderId="0" xfId="0" applyFont="1" applyProtection="1"/>
    <xf numFmtId="0" fontId="30" fillId="2" borderId="0" xfId="0" applyFont="1" applyFill="1" applyBorder="1" applyAlignment="1" applyProtection="1">
      <alignment horizontal="center"/>
    </xf>
    <xf numFmtId="0" fontId="30" fillId="0" borderId="0" xfId="0" applyFont="1" applyAlignment="1" applyProtection="1">
      <alignment horizontal="center"/>
    </xf>
    <xf numFmtId="0" fontId="12" fillId="0" borderId="0" xfId="1" applyFont="1" applyBorder="1" applyAlignment="1" applyProtection="1">
      <alignment horizontal="left" vertical="top" wrapText="1"/>
    </xf>
    <xf numFmtId="0" fontId="2" fillId="8" borderId="3" xfId="0" applyFont="1" applyFill="1" applyBorder="1" applyAlignment="1" applyProtection="1">
      <alignment horizontal="left"/>
    </xf>
    <xf numFmtId="0" fontId="2" fillId="8" borderId="4" xfId="0" applyFont="1" applyFill="1" applyBorder="1" applyAlignment="1" applyProtection="1">
      <alignment horizontal="left"/>
    </xf>
    <xf numFmtId="0" fontId="2" fillId="8" borderId="2" xfId="0" applyFont="1" applyFill="1" applyBorder="1" applyAlignment="1" applyProtection="1">
      <alignment horizontal="left"/>
    </xf>
    <xf numFmtId="0" fontId="2" fillId="0" borderId="5" xfId="0" applyFont="1" applyBorder="1" applyAlignment="1" applyProtection="1">
      <alignment horizontal="left"/>
    </xf>
    <xf numFmtId="0" fontId="2" fillId="5" borderId="0" xfId="1" applyFont="1" applyFill="1" applyAlignment="1" applyProtection="1">
      <alignment horizontal="left" vertical="center" indent="1"/>
    </xf>
  </cellXfs>
  <cellStyles count="23">
    <cellStyle name="Comma 2" xfId="21"/>
    <cellStyle name="Currency 2" xfId="10"/>
    <cellStyle name="Currency 2 2" xfId="17"/>
    <cellStyle name="Currency 3" xfId="13"/>
    <cellStyle name="Hyperlink" xfId="22" builtinId="8"/>
    <cellStyle name="Hyperlink 2" xfId="4"/>
    <cellStyle name="Hyperlink 2 2" xfId="19"/>
    <cellStyle name="Hyperlink 3" xfId="6"/>
    <cellStyle name="Hyperlink 4" xfId="11"/>
    <cellStyle name="Hyperlink 5" xfId="18"/>
    <cellStyle name="Normal" xfId="0" builtinId="0"/>
    <cellStyle name="Normal 2" xfId="1"/>
    <cellStyle name="Normal 2 2" xfId="20"/>
    <cellStyle name="Normal 3" xfId="3"/>
    <cellStyle name="Normal 3 2" xfId="8"/>
    <cellStyle name="Normal 4" xfId="7"/>
    <cellStyle name="Normal 5" xfId="12"/>
    <cellStyle name="Normal 6" xfId="16"/>
    <cellStyle name="Percent" xfId="15" builtinId="5"/>
    <cellStyle name="Percent 2" xfId="2"/>
    <cellStyle name="Percent 3" xfId="5"/>
    <cellStyle name="Percent 3 2" xfId="9"/>
    <cellStyle name="Percent 4" xfId="14"/>
  </cellStyles>
  <dxfs count="3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color rgb="FF00CCFF"/>
      <color rgb="FF0000FF"/>
      <color rgb="FFFFFF99"/>
      <color rgb="FF990000"/>
      <color rgb="FFCCCC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anose="020B0604020202020204" pitchFamily="34" charset="0"/>
                <a:cs typeface="Arial" panose="020B0604020202020204" pitchFamily="34" charset="0"/>
              </a:defRPr>
            </a:pPr>
            <a:r>
              <a:rPr lang="en-US" sz="1100">
                <a:latin typeface="Arial" panose="020B0604020202020204" pitchFamily="34" charset="0"/>
                <a:cs typeface="Arial" panose="020B0604020202020204" pitchFamily="34" charset="0"/>
              </a:rPr>
              <a:t>Nominal Cash Flows</a:t>
            </a:r>
          </a:p>
        </c:rich>
      </c:tx>
      <c:layout/>
      <c:overlay val="0"/>
    </c:title>
    <c:autoTitleDeleted val="0"/>
    <c:plotArea>
      <c:layout/>
      <c:barChart>
        <c:barDir val="col"/>
        <c:grouping val="clustered"/>
        <c:varyColors val="0"/>
        <c:ser>
          <c:idx val="0"/>
          <c:order val="0"/>
          <c:tx>
            <c:v>Annual pre-tax cash flows (calves + cull cow)</c:v>
          </c:tx>
          <c:spPr>
            <a:solidFill>
              <a:srgbClr val="0000FF"/>
            </a:solidFill>
            <a:ln w="12700">
              <a:noFill/>
            </a:ln>
          </c:spPr>
          <c:invertIfNegative val="0"/>
          <c:cat>
            <c:multiLvlStrRef>
              <c:f>Example!$D$39:$S$40</c:f>
              <c:multiLvlStrCache>
                <c:ptCount val="16"/>
                <c:lvl>
                  <c:pt idx="0">
                    <c:v>Purchase</c:v>
                  </c:pt>
                  <c:pt idx="1">
                    <c:v>Year 1</c:v>
                  </c:pt>
                  <c:pt idx="2">
                    <c:v>Year 2</c:v>
                  </c:pt>
                  <c:pt idx="3">
                    <c:v>Year 3</c:v>
                  </c:pt>
                  <c:pt idx="4">
                    <c:v>Year 4</c:v>
                  </c:pt>
                  <c:pt idx="5">
                    <c:v>Year 5</c:v>
                  </c:pt>
                  <c:pt idx="6">
                    <c:v>Year 6</c:v>
                  </c:pt>
                  <c:pt idx="7">
                    <c:v>Year 7</c:v>
                  </c:pt>
                  <c:pt idx="8">
                    <c:v>Year 8</c:v>
                  </c:pt>
                  <c:pt idx="9">
                    <c:v>Year 9</c:v>
                  </c:pt>
                  <c:pt idx="10">
                    <c:v>Year 10</c:v>
                  </c:pt>
                  <c:pt idx="11">
                    <c:v>Year 11</c:v>
                  </c:pt>
                  <c:pt idx="12">
                    <c:v>Year 12</c:v>
                  </c:pt>
                  <c:pt idx="13">
                    <c:v>Year 13</c:v>
                  </c:pt>
                  <c:pt idx="14">
                    <c:v>Year 14</c:v>
                  </c:pt>
                  <c:pt idx="15">
                    <c:v>Year 15</c:v>
                  </c:pt>
                </c:lvl>
                <c:lvl>
                  <c:pt idx="0">
                    <c:v>Initial</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lvl>
              </c:multiLvlStrCache>
            </c:multiLvlStrRef>
          </c:cat>
          <c:val>
            <c:numRef>
              <c:f>Example!$D$47:$S$47</c:f>
              <c:numCache>
                <c:formatCode>"$"#,##0_);[Red]\("$"#,##0\)</c:formatCode>
                <c:ptCount val="16"/>
                <c:pt idx="0">
                  <c:v>-1680</c:v>
                </c:pt>
                <c:pt idx="1">
                  <c:v>283.39999999999998</c:v>
                </c:pt>
                <c:pt idx="2">
                  <c:v>199.39999999999998</c:v>
                </c:pt>
                <c:pt idx="3">
                  <c:v>190.79999999999995</c:v>
                </c:pt>
                <c:pt idx="4">
                  <c:v>152.60000000000002</c:v>
                </c:pt>
                <c:pt idx="5">
                  <c:v>152.60000000000002</c:v>
                </c:pt>
                <c:pt idx="6">
                  <c:v>120.10000000000002</c:v>
                </c:pt>
                <c:pt idx="7">
                  <c:v>1026.95</c:v>
                </c:pt>
                <c:pt idx="8">
                  <c:v>0</c:v>
                </c:pt>
                <c:pt idx="9">
                  <c:v>0</c:v>
                </c:pt>
                <c:pt idx="10">
                  <c:v>0</c:v>
                </c:pt>
                <c:pt idx="11">
                  <c:v>0</c:v>
                </c:pt>
                <c:pt idx="12">
                  <c:v>0</c:v>
                </c:pt>
                <c:pt idx="13">
                  <c:v>0</c:v>
                </c:pt>
                <c:pt idx="14">
                  <c:v>0</c:v>
                </c:pt>
                <c:pt idx="15">
                  <c:v>0</c:v>
                </c:pt>
              </c:numCache>
            </c:numRef>
          </c:val>
          <c:extLst xmlns:c16r2="http://schemas.microsoft.com/office/drawing/2015/06/chart">
            <c:ext xmlns:c16="http://schemas.microsoft.com/office/drawing/2014/chart" uri="{C3380CC4-5D6E-409C-BE32-E72D297353CC}">
              <c16:uniqueId val="{00000000-9E74-4072-9765-4FBD8E8C3B9F}"/>
            </c:ext>
          </c:extLst>
        </c:ser>
        <c:ser>
          <c:idx val="3"/>
          <c:order val="1"/>
          <c:tx>
            <c:v>Annual pre-tax cash flows (calves)</c:v>
          </c:tx>
          <c:spPr>
            <a:solidFill>
              <a:srgbClr val="00CCFF"/>
            </a:solidFill>
            <a:ln w="12700">
              <a:noFill/>
            </a:ln>
          </c:spPr>
          <c:invertIfNegative val="0"/>
          <c:val>
            <c:numRef>
              <c:f>Example!$D$48:$S$48</c:f>
              <c:numCache>
                <c:formatCode>"$"#,##0_);[Red]\("$"#,##0\)</c:formatCode>
                <c:ptCount val="16"/>
                <c:pt idx="0">
                  <c:v>-1680</c:v>
                </c:pt>
                <c:pt idx="1">
                  <c:v>283.39999999999998</c:v>
                </c:pt>
                <c:pt idx="2">
                  <c:v>199.39999999999998</c:v>
                </c:pt>
                <c:pt idx="3">
                  <c:v>190.79999999999995</c:v>
                </c:pt>
                <c:pt idx="4">
                  <c:v>152.60000000000002</c:v>
                </c:pt>
                <c:pt idx="5">
                  <c:v>152.60000000000002</c:v>
                </c:pt>
                <c:pt idx="6">
                  <c:v>120.10000000000002</c:v>
                </c:pt>
                <c:pt idx="7">
                  <c:v>240.95000000000005</c:v>
                </c:pt>
                <c:pt idx="8">
                  <c:v>0</c:v>
                </c:pt>
                <c:pt idx="9">
                  <c:v>0</c:v>
                </c:pt>
                <c:pt idx="10">
                  <c:v>0</c:v>
                </c:pt>
                <c:pt idx="11">
                  <c:v>0</c:v>
                </c:pt>
                <c:pt idx="12">
                  <c:v>0</c:v>
                </c:pt>
                <c:pt idx="13">
                  <c:v>0</c:v>
                </c:pt>
                <c:pt idx="14">
                  <c:v>0</c:v>
                </c:pt>
                <c:pt idx="15">
                  <c:v>0</c:v>
                </c:pt>
              </c:numCache>
            </c:numRef>
          </c:val>
          <c:extLst xmlns:c16r2="http://schemas.microsoft.com/office/drawing/2015/06/chart">
            <c:ext xmlns:c16="http://schemas.microsoft.com/office/drawing/2014/chart" uri="{C3380CC4-5D6E-409C-BE32-E72D297353CC}">
              <c16:uniqueId val="{00000001-9E74-4072-9765-4FBD8E8C3B9F}"/>
            </c:ext>
          </c:extLst>
        </c:ser>
        <c:dLbls>
          <c:showLegendKey val="0"/>
          <c:showVal val="0"/>
          <c:showCatName val="0"/>
          <c:showSerName val="0"/>
          <c:showPercent val="0"/>
          <c:showBubbleSize val="0"/>
        </c:dLbls>
        <c:gapWidth val="150"/>
        <c:axId val="210077656"/>
        <c:axId val="210076088"/>
      </c:barChart>
      <c:lineChart>
        <c:grouping val="standard"/>
        <c:varyColors val="0"/>
        <c:ser>
          <c:idx val="1"/>
          <c:order val="2"/>
          <c:tx>
            <c:v>Cumulative value of annual pre-tax cash flows (calves + cull cow)</c:v>
          </c:tx>
          <c:spPr>
            <a:ln w="31750">
              <a:solidFill>
                <a:srgbClr val="FF0000"/>
              </a:solidFill>
            </a:ln>
          </c:spPr>
          <c:marker>
            <c:symbol val="circle"/>
            <c:size val="5"/>
            <c:spPr>
              <a:solidFill>
                <a:srgbClr val="0000FF"/>
              </a:solidFill>
              <a:ln>
                <a:solidFill>
                  <a:srgbClr val="FF0000"/>
                </a:solidFill>
              </a:ln>
            </c:spPr>
          </c:marker>
          <c:val>
            <c:numRef>
              <c:f>Example!$D$52:$S$52</c:f>
              <c:numCache>
                <c:formatCode>"$"#,##0_);[Red]\("$"#,##0\)</c:formatCode>
                <c:ptCount val="16"/>
                <c:pt idx="0">
                  <c:v>-1680</c:v>
                </c:pt>
                <c:pt idx="1">
                  <c:v>-1396.6</c:v>
                </c:pt>
                <c:pt idx="2">
                  <c:v>-1197.1999999999998</c:v>
                </c:pt>
                <c:pt idx="3">
                  <c:v>-1006.3999999999999</c:v>
                </c:pt>
                <c:pt idx="4">
                  <c:v>-853.79999999999984</c:v>
                </c:pt>
                <c:pt idx="5">
                  <c:v>-701.19999999999982</c:v>
                </c:pt>
                <c:pt idx="6">
                  <c:v>-581.0999999999998</c:v>
                </c:pt>
                <c:pt idx="7">
                  <c:v>445.85000000000025</c:v>
                </c:pt>
                <c:pt idx="8">
                  <c:v>#N/A</c:v>
                </c:pt>
                <c:pt idx="9">
                  <c:v>#N/A</c:v>
                </c:pt>
                <c:pt idx="10">
                  <c:v>#N/A</c:v>
                </c:pt>
                <c:pt idx="11">
                  <c:v>#N/A</c:v>
                </c:pt>
                <c:pt idx="12">
                  <c:v>#N/A</c:v>
                </c:pt>
                <c:pt idx="13">
                  <c:v>#N/A</c:v>
                </c:pt>
                <c:pt idx="14">
                  <c:v>#N/A</c:v>
                </c:pt>
                <c:pt idx="15">
                  <c:v>#N/A</c:v>
                </c:pt>
              </c:numCache>
            </c:numRef>
          </c:val>
          <c:smooth val="0"/>
          <c:extLst xmlns:c16r2="http://schemas.microsoft.com/office/drawing/2015/06/chart">
            <c:ext xmlns:c16="http://schemas.microsoft.com/office/drawing/2014/chart" uri="{C3380CC4-5D6E-409C-BE32-E72D297353CC}">
              <c16:uniqueId val="{00000002-9E74-4072-9765-4FBD8E8C3B9F}"/>
            </c:ext>
          </c:extLst>
        </c:ser>
        <c:ser>
          <c:idx val="2"/>
          <c:order val="3"/>
          <c:tx>
            <c:v>Cumulative value of annual pre-tax cash flows (calves)</c:v>
          </c:tx>
          <c:spPr>
            <a:ln w="31750">
              <a:solidFill>
                <a:srgbClr val="FF0000"/>
              </a:solidFill>
            </a:ln>
          </c:spPr>
          <c:marker>
            <c:symbol val="circle"/>
            <c:size val="5"/>
            <c:spPr>
              <a:solidFill>
                <a:srgbClr val="00CCFF"/>
              </a:solidFill>
              <a:ln>
                <a:solidFill>
                  <a:srgbClr val="FF0000"/>
                </a:solidFill>
              </a:ln>
            </c:spPr>
          </c:marker>
          <c:val>
            <c:numRef>
              <c:f>Example!$D$53:$S$53</c:f>
              <c:numCache>
                <c:formatCode>"$"#,##0_);[Red]\("$"#,##0\)</c:formatCode>
                <c:ptCount val="16"/>
                <c:pt idx="0">
                  <c:v>-1680</c:v>
                </c:pt>
                <c:pt idx="1">
                  <c:v>-1396.6</c:v>
                </c:pt>
                <c:pt idx="2">
                  <c:v>-1197.1999999999998</c:v>
                </c:pt>
                <c:pt idx="3">
                  <c:v>-1006.3999999999999</c:v>
                </c:pt>
                <c:pt idx="4">
                  <c:v>-853.79999999999984</c:v>
                </c:pt>
                <c:pt idx="5">
                  <c:v>-701.19999999999982</c:v>
                </c:pt>
                <c:pt idx="6">
                  <c:v>-581.0999999999998</c:v>
                </c:pt>
                <c:pt idx="7">
                  <c:v>-340.14999999999975</c:v>
                </c:pt>
                <c:pt idx="8">
                  <c:v>#N/A</c:v>
                </c:pt>
                <c:pt idx="9">
                  <c:v>#N/A</c:v>
                </c:pt>
                <c:pt idx="10">
                  <c:v>#N/A</c:v>
                </c:pt>
                <c:pt idx="11">
                  <c:v>#N/A</c:v>
                </c:pt>
                <c:pt idx="12">
                  <c:v>#N/A</c:v>
                </c:pt>
                <c:pt idx="13">
                  <c:v>#N/A</c:v>
                </c:pt>
                <c:pt idx="14">
                  <c:v>#N/A</c:v>
                </c:pt>
                <c:pt idx="15">
                  <c:v>#N/A</c:v>
                </c:pt>
              </c:numCache>
            </c:numRef>
          </c:val>
          <c:smooth val="0"/>
          <c:extLst xmlns:c16r2="http://schemas.microsoft.com/office/drawing/2015/06/chart">
            <c:ext xmlns:c16="http://schemas.microsoft.com/office/drawing/2014/chart" uri="{C3380CC4-5D6E-409C-BE32-E72D297353CC}">
              <c16:uniqueId val="{00000003-9E74-4072-9765-4FBD8E8C3B9F}"/>
            </c:ext>
          </c:extLst>
        </c:ser>
        <c:dLbls>
          <c:showLegendKey val="0"/>
          <c:showVal val="0"/>
          <c:showCatName val="0"/>
          <c:showSerName val="0"/>
          <c:showPercent val="0"/>
          <c:showBubbleSize val="0"/>
        </c:dLbls>
        <c:marker val="1"/>
        <c:smooth val="0"/>
        <c:axId val="210077656"/>
        <c:axId val="210076088"/>
      </c:lineChart>
      <c:catAx>
        <c:axId val="210077656"/>
        <c:scaling>
          <c:orientation val="minMax"/>
        </c:scaling>
        <c:delete val="0"/>
        <c:axPos val="b"/>
        <c:numFmt formatCode="General" sourceLinked="0"/>
        <c:majorTickMark val="out"/>
        <c:minorTickMark val="none"/>
        <c:tickLblPos val="low"/>
        <c:txPr>
          <a:bodyPr rot="-5400000" vert="horz"/>
          <a:lstStyle/>
          <a:p>
            <a:pPr>
              <a:defRPr sz="900" b="1">
                <a:latin typeface="Arial" panose="020B0604020202020204" pitchFamily="34" charset="0"/>
                <a:cs typeface="Arial" panose="020B0604020202020204" pitchFamily="34" charset="0"/>
              </a:defRPr>
            </a:pPr>
            <a:endParaRPr lang="en-US"/>
          </a:p>
        </c:txPr>
        <c:crossAx val="210076088"/>
        <c:crosses val="autoZero"/>
        <c:auto val="1"/>
        <c:lblAlgn val="ctr"/>
        <c:lblOffset val="100"/>
        <c:noMultiLvlLbl val="0"/>
      </c:catAx>
      <c:valAx>
        <c:axId val="210076088"/>
        <c:scaling>
          <c:orientation val="minMax"/>
        </c:scaling>
        <c:delete val="0"/>
        <c:axPos val="l"/>
        <c:majorGridlines/>
        <c:numFmt formatCode="&quot;$&quot;#,##0_);[Red]\(&quot;$&quot;#,##0\)" sourceLinked="1"/>
        <c:majorTickMark val="out"/>
        <c:minorTickMark val="none"/>
        <c:tickLblPos val="nextTo"/>
        <c:txPr>
          <a:bodyPr/>
          <a:lstStyle/>
          <a:p>
            <a:pPr>
              <a:defRPr sz="1000" b="1">
                <a:latin typeface="Arial" panose="020B0604020202020204" pitchFamily="34" charset="0"/>
                <a:cs typeface="Arial" panose="020B0604020202020204" pitchFamily="34" charset="0"/>
              </a:defRPr>
            </a:pPr>
            <a:endParaRPr lang="en-US"/>
          </a:p>
        </c:txPr>
        <c:crossAx val="210077656"/>
        <c:crosses val="autoZero"/>
        <c:crossBetween val="between"/>
      </c:valAx>
      <c:spPr>
        <a:ln w="25400">
          <a:solidFill>
            <a:schemeClr val="tx1"/>
          </a:solidFill>
        </a:ln>
      </c:spPr>
    </c:plotArea>
    <c:legend>
      <c:legendPos val="t"/>
      <c:layout/>
      <c:overlay val="0"/>
      <c:txPr>
        <a:bodyPr/>
        <a:lstStyle/>
        <a:p>
          <a:pPr>
            <a:defRPr sz="1000" b="1">
              <a:latin typeface="Arial" panose="020B0604020202020204" pitchFamily="34" charset="0"/>
              <a:cs typeface="Arial" panose="020B0604020202020204" pitchFamily="34" charset="0"/>
            </a:defRPr>
          </a:pPr>
          <a:endParaRPr lang="en-US"/>
        </a:p>
      </c:txPr>
    </c:legend>
    <c:plotVisOnly val="1"/>
    <c:dispBlanksAs val="gap"/>
    <c:showDLblsOverMax val="0"/>
  </c:chart>
  <c:spPr>
    <a:ln w="38100">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anose="020B0604020202020204" pitchFamily="34" charset="0"/>
                <a:cs typeface="Arial" panose="020B0604020202020204" pitchFamily="34" charset="0"/>
              </a:defRPr>
            </a:pPr>
            <a:r>
              <a:rPr lang="en-US" sz="1100">
                <a:latin typeface="Arial" panose="020B0604020202020204" pitchFamily="34" charset="0"/>
                <a:cs typeface="Arial" panose="020B0604020202020204" pitchFamily="34" charset="0"/>
              </a:rPr>
              <a:t>Discounted Cash Flows</a:t>
            </a:r>
          </a:p>
        </c:rich>
      </c:tx>
      <c:layout/>
      <c:overlay val="0"/>
    </c:title>
    <c:autoTitleDeleted val="0"/>
    <c:plotArea>
      <c:layout/>
      <c:barChart>
        <c:barDir val="col"/>
        <c:grouping val="clustered"/>
        <c:varyColors val="0"/>
        <c:ser>
          <c:idx val="0"/>
          <c:order val="0"/>
          <c:tx>
            <c:v>Annual pre-tax cash flows (calves + cull cow)</c:v>
          </c:tx>
          <c:spPr>
            <a:solidFill>
              <a:srgbClr val="0000FF"/>
            </a:solidFill>
            <a:ln w="12700">
              <a:noFill/>
            </a:ln>
          </c:spPr>
          <c:invertIfNegative val="0"/>
          <c:cat>
            <c:multiLvlStrRef>
              <c:f>Example!$D$39:$S$40</c:f>
              <c:multiLvlStrCache>
                <c:ptCount val="16"/>
                <c:lvl>
                  <c:pt idx="0">
                    <c:v>Purchase</c:v>
                  </c:pt>
                  <c:pt idx="1">
                    <c:v>Year 1</c:v>
                  </c:pt>
                  <c:pt idx="2">
                    <c:v>Year 2</c:v>
                  </c:pt>
                  <c:pt idx="3">
                    <c:v>Year 3</c:v>
                  </c:pt>
                  <c:pt idx="4">
                    <c:v>Year 4</c:v>
                  </c:pt>
                  <c:pt idx="5">
                    <c:v>Year 5</c:v>
                  </c:pt>
                  <c:pt idx="6">
                    <c:v>Year 6</c:v>
                  </c:pt>
                  <c:pt idx="7">
                    <c:v>Year 7</c:v>
                  </c:pt>
                  <c:pt idx="8">
                    <c:v>Year 8</c:v>
                  </c:pt>
                  <c:pt idx="9">
                    <c:v>Year 9</c:v>
                  </c:pt>
                  <c:pt idx="10">
                    <c:v>Year 10</c:v>
                  </c:pt>
                  <c:pt idx="11">
                    <c:v>Year 11</c:v>
                  </c:pt>
                  <c:pt idx="12">
                    <c:v>Year 12</c:v>
                  </c:pt>
                  <c:pt idx="13">
                    <c:v>Year 13</c:v>
                  </c:pt>
                  <c:pt idx="14">
                    <c:v>Year 14</c:v>
                  </c:pt>
                  <c:pt idx="15">
                    <c:v>Year 15</c:v>
                  </c:pt>
                </c:lvl>
                <c:lvl>
                  <c:pt idx="0">
                    <c:v>Initial</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lvl>
              </c:multiLvlStrCache>
            </c:multiLvlStrRef>
          </c:cat>
          <c:val>
            <c:numRef>
              <c:f>Example!$D$59:$S$59</c:f>
              <c:numCache>
                <c:formatCode>"$"#,##0_);[Red]\("$"#,##0\)</c:formatCode>
                <c:ptCount val="16"/>
                <c:pt idx="0">
                  <c:v>-1680</c:v>
                </c:pt>
                <c:pt idx="1">
                  <c:v>269.90476190476187</c:v>
                </c:pt>
                <c:pt idx="2">
                  <c:v>180.86167800453512</c:v>
                </c:pt>
                <c:pt idx="3">
                  <c:v>164.82021379980557</c:v>
                </c:pt>
                <c:pt idx="4">
                  <c:v>125.54439765324121</c:v>
                </c:pt>
                <c:pt idx="5">
                  <c:v>119.56609300308685</c:v>
                </c:pt>
                <c:pt idx="6">
                  <c:v>89.620469136059</c:v>
                </c:pt>
                <c:pt idx="7">
                  <c:v>729.83419197712828</c:v>
                </c:pt>
                <c:pt idx="8">
                  <c:v>0</c:v>
                </c:pt>
                <c:pt idx="9">
                  <c:v>0</c:v>
                </c:pt>
                <c:pt idx="10">
                  <c:v>0</c:v>
                </c:pt>
                <c:pt idx="11">
                  <c:v>0</c:v>
                </c:pt>
                <c:pt idx="12">
                  <c:v>0</c:v>
                </c:pt>
                <c:pt idx="13">
                  <c:v>0</c:v>
                </c:pt>
                <c:pt idx="14">
                  <c:v>0</c:v>
                </c:pt>
                <c:pt idx="15">
                  <c:v>0</c:v>
                </c:pt>
              </c:numCache>
            </c:numRef>
          </c:val>
          <c:extLst xmlns:c16r2="http://schemas.microsoft.com/office/drawing/2015/06/chart">
            <c:ext xmlns:c16="http://schemas.microsoft.com/office/drawing/2014/chart" uri="{C3380CC4-5D6E-409C-BE32-E72D297353CC}">
              <c16:uniqueId val="{00000000-3160-4D37-97E8-4B8E001800AA}"/>
            </c:ext>
          </c:extLst>
        </c:ser>
        <c:ser>
          <c:idx val="3"/>
          <c:order val="3"/>
          <c:tx>
            <c:v>Annual pre-tax cash flows (calves)</c:v>
          </c:tx>
          <c:spPr>
            <a:solidFill>
              <a:srgbClr val="00CCFF"/>
            </a:solidFill>
          </c:spPr>
          <c:invertIfNegative val="0"/>
          <c:val>
            <c:numRef>
              <c:f>Example!$D$60:$S$60</c:f>
              <c:numCache>
                <c:formatCode>"$"#,##0_);[Red]\("$"#,##0\)</c:formatCode>
                <c:ptCount val="16"/>
                <c:pt idx="0">
                  <c:v>-1680</c:v>
                </c:pt>
                <c:pt idx="1">
                  <c:v>269.90476190476187</c:v>
                </c:pt>
                <c:pt idx="2">
                  <c:v>180.86167800453512</c:v>
                </c:pt>
                <c:pt idx="3">
                  <c:v>164.82021379980557</c:v>
                </c:pt>
                <c:pt idx="4">
                  <c:v>125.54439765324121</c:v>
                </c:pt>
                <c:pt idx="5">
                  <c:v>119.56609300308685</c:v>
                </c:pt>
                <c:pt idx="6">
                  <c:v>89.620469136059</c:v>
                </c:pt>
                <c:pt idx="7">
                  <c:v>171.23866649485279</c:v>
                </c:pt>
                <c:pt idx="8">
                  <c:v>0</c:v>
                </c:pt>
                <c:pt idx="9">
                  <c:v>0</c:v>
                </c:pt>
                <c:pt idx="10">
                  <c:v>0</c:v>
                </c:pt>
                <c:pt idx="11">
                  <c:v>0</c:v>
                </c:pt>
                <c:pt idx="12">
                  <c:v>0</c:v>
                </c:pt>
                <c:pt idx="13">
                  <c:v>0</c:v>
                </c:pt>
                <c:pt idx="14">
                  <c:v>0</c:v>
                </c:pt>
                <c:pt idx="15">
                  <c:v>0</c:v>
                </c:pt>
              </c:numCache>
            </c:numRef>
          </c:val>
          <c:extLst xmlns:c16r2="http://schemas.microsoft.com/office/drawing/2015/06/chart">
            <c:ext xmlns:c16="http://schemas.microsoft.com/office/drawing/2014/chart" uri="{C3380CC4-5D6E-409C-BE32-E72D297353CC}">
              <c16:uniqueId val="{00000001-3160-4D37-97E8-4B8E001800AA}"/>
            </c:ext>
          </c:extLst>
        </c:ser>
        <c:dLbls>
          <c:showLegendKey val="0"/>
          <c:showVal val="0"/>
          <c:showCatName val="0"/>
          <c:showSerName val="0"/>
          <c:showPercent val="0"/>
          <c:showBubbleSize val="0"/>
        </c:dLbls>
        <c:gapWidth val="150"/>
        <c:axId val="210076480"/>
        <c:axId val="210074912"/>
      </c:barChart>
      <c:lineChart>
        <c:grouping val="standard"/>
        <c:varyColors val="0"/>
        <c:ser>
          <c:idx val="1"/>
          <c:order val="1"/>
          <c:tx>
            <c:v>Cumulative value of annual pre-tax cash flows (calves + cull cow)</c:v>
          </c:tx>
          <c:spPr>
            <a:ln w="31750">
              <a:solidFill>
                <a:srgbClr val="FF0000"/>
              </a:solidFill>
            </a:ln>
          </c:spPr>
          <c:marker>
            <c:symbol val="circle"/>
            <c:size val="5"/>
            <c:spPr>
              <a:solidFill>
                <a:srgbClr val="0000FF"/>
              </a:solidFill>
              <a:ln>
                <a:solidFill>
                  <a:srgbClr val="FF0000"/>
                </a:solidFill>
              </a:ln>
            </c:spPr>
          </c:marker>
          <c:val>
            <c:numRef>
              <c:f>Example!$D$64:$S$64</c:f>
              <c:numCache>
                <c:formatCode>"$"#,##0_);[Red]\("$"#,##0\)</c:formatCode>
                <c:ptCount val="16"/>
                <c:pt idx="0">
                  <c:v>-1680</c:v>
                </c:pt>
                <c:pt idx="1">
                  <c:v>-1410.0952380952381</c:v>
                </c:pt>
                <c:pt idx="2">
                  <c:v>-1229.2335600907029</c:v>
                </c:pt>
                <c:pt idx="3">
                  <c:v>-1064.4133462908974</c:v>
                </c:pt>
                <c:pt idx="4">
                  <c:v>-938.86894863765622</c:v>
                </c:pt>
                <c:pt idx="5">
                  <c:v>-819.30285563456937</c:v>
                </c:pt>
                <c:pt idx="6">
                  <c:v>-729.68238649851037</c:v>
                </c:pt>
                <c:pt idx="7">
                  <c:v>0.15180547861791638</c:v>
                </c:pt>
                <c:pt idx="8">
                  <c:v>#N/A</c:v>
                </c:pt>
                <c:pt idx="9">
                  <c:v>#N/A</c:v>
                </c:pt>
                <c:pt idx="10">
                  <c:v>#N/A</c:v>
                </c:pt>
                <c:pt idx="11">
                  <c:v>#N/A</c:v>
                </c:pt>
                <c:pt idx="12">
                  <c:v>#N/A</c:v>
                </c:pt>
                <c:pt idx="13">
                  <c:v>#N/A</c:v>
                </c:pt>
                <c:pt idx="14">
                  <c:v>#N/A</c:v>
                </c:pt>
                <c:pt idx="15">
                  <c:v>#N/A</c:v>
                </c:pt>
              </c:numCache>
            </c:numRef>
          </c:val>
          <c:smooth val="0"/>
          <c:extLst xmlns:c16r2="http://schemas.microsoft.com/office/drawing/2015/06/chart">
            <c:ext xmlns:c16="http://schemas.microsoft.com/office/drawing/2014/chart" uri="{C3380CC4-5D6E-409C-BE32-E72D297353CC}">
              <c16:uniqueId val="{00000002-3160-4D37-97E8-4B8E001800AA}"/>
            </c:ext>
          </c:extLst>
        </c:ser>
        <c:ser>
          <c:idx val="2"/>
          <c:order val="2"/>
          <c:tx>
            <c:v>Cumulative value of pre-tax cash flows (calves)</c:v>
          </c:tx>
          <c:spPr>
            <a:ln w="31750">
              <a:solidFill>
                <a:srgbClr val="FF0000"/>
              </a:solidFill>
            </a:ln>
          </c:spPr>
          <c:marker>
            <c:symbol val="circle"/>
            <c:size val="5"/>
            <c:spPr>
              <a:solidFill>
                <a:srgbClr val="00CCFF"/>
              </a:solidFill>
              <a:ln>
                <a:solidFill>
                  <a:srgbClr val="FF0000"/>
                </a:solidFill>
              </a:ln>
            </c:spPr>
          </c:marker>
          <c:val>
            <c:numRef>
              <c:f>Example!$D$65:$S$65</c:f>
              <c:numCache>
                <c:formatCode>"$"#,##0_);[Red]\("$"#,##0\)</c:formatCode>
                <c:ptCount val="16"/>
                <c:pt idx="0">
                  <c:v>-1680</c:v>
                </c:pt>
                <c:pt idx="1">
                  <c:v>-1410.0952380952381</c:v>
                </c:pt>
                <c:pt idx="2">
                  <c:v>-1229.2335600907029</c:v>
                </c:pt>
                <c:pt idx="3">
                  <c:v>-1064.4133462908974</c:v>
                </c:pt>
                <c:pt idx="4">
                  <c:v>-938.86894863765622</c:v>
                </c:pt>
                <c:pt idx="5">
                  <c:v>-819.30285563456937</c:v>
                </c:pt>
                <c:pt idx="6">
                  <c:v>-729.68238649851037</c:v>
                </c:pt>
                <c:pt idx="7">
                  <c:v>-558.44372000365752</c:v>
                </c:pt>
                <c:pt idx="8">
                  <c:v>#N/A</c:v>
                </c:pt>
                <c:pt idx="9">
                  <c:v>#N/A</c:v>
                </c:pt>
                <c:pt idx="10">
                  <c:v>#N/A</c:v>
                </c:pt>
                <c:pt idx="11">
                  <c:v>#N/A</c:v>
                </c:pt>
                <c:pt idx="12">
                  <c:v>#N/A</c:v>
                </c:pt>
                <c:pt idx="13">
                  <c:v>#N/A</c:v>
                </c:pt>
                <c:pt idx="14">
                  <c:v>#N/A</c:v>
                </c:pt>
                <c:pt idx="15">
                  <c:v>#N/A</c:v>
                </c:pt>
              </c:numCache>
            </c:numRef>
          </c:val>
          <c:smooth val="0"/>
          <c:extLst xmlns:c16r2="http://schemas.microsoft.com/office/drawing/2015/06/chart">
            <c:ext xmlns:c16="http://schemas.microsoft.com/office/drawing/2014/chart" uri="{C3380CC4-5D6E-409C-BE32-E72D297353CC}">
              <c16:uniqueId val="{00000003-3160-4D37-97E8-4B8E001800AA}"/>
            </c:ext>
          </c:extLst>
        </c:ser>
        <c:dLbls>
          <c:showLegendKey val="0"/>
          <c:showVal val="0"/>
          <c:showCatName val="0"/>
          <c:showSerName val="0"/>
          <c:showPercent val="0"/>
          <c:showBubbleSize val="0"/>
        </c:dLbls>
        <c:marker val="1"/>
        <c:smooth val="0"/>
        <c:axId val="210076480"/>
        <c:axId val="210074912"/>
      </c:lineChart>
      <c:catAx>
        <c:axId val="210076480"/>
        <c:scaling>
          <c:orientation val="minMax"/>
        </c:scaling>
        <c:delete val="0"/>
        <c:axPos val="b"/>
        <c:numFmt formatCode="General" sourceLinked="0"/>
        <c:majorTickMark val="out"/>
        <c:minorTickMark val="none"/>
        <c:tickLblPos val="low"/>
        <c:txPr>
          <a:bodyPr rot="-5400000" vert="horz"/>
          <a:lstStyle/>
          <a:p>
            <a:pPr>
              <a:defRPr sz="900" b="1">
                <a:latin typeface="Arial" panose="020B0604020202020204" pitchFamily="34" charset="0"/>
                <a:cs typeface="Arial" panose="020B0604020202020204" pitchFamily="34" charset="0"/>
              </a:defRPr>
            </a:pPr>
            <a:endParaRPr lang="en-US"/>
          </a:p>
        </c:txPr>
        <c:crossAx val="210074912"/>
        <c:crosses val="autoZero"/>
        <c:auto val="1"/>
        <c:lblAlgn val="ctr"/>
        <c:lblOffset val="100"/>
        <c:noMultiLvlLbl val="0"/>
      </c:catAx>
      <c:valAx>
        <c:axId val="210074912"/>
        <c:scaling>
          <c:orientation val="minMax"/>
        </c:scaling>
        <c:delete val="0"/>
        <c:axPos val="l"/>
        <c:majorGridlines/>
        <c:numFmt formatCode="&quot;$&quot;#,##0_);[Red]\(&quot;$&quot;#,##0\)" sourceLinked="1"/>
        <c:majorTickMark val="out"/>
        <c:minorTickMark val="none"/>
        <c:tickLblPos val="nextTo"/>
        <c:txPr>
          <a:bodyPr/>
          <a:lstStyle/>
          <a:p>
            <a:pPr>
              <a:defRPr sz="1000" b="1">
                <a:latin typeface="Arial" panose="020B0604020202020204" pitchFamily="34" charset="0"/>
                <a:cs typeface="Arial" panose="020B0604020202020204" pitchFamily="34" charset="0"/>
              </a:defRPr>
            </a:pPr>
            <a:endParaRPr lang="en-US"/>
          </a:p>
        </c:txPr>
        <c:crossAx val="210076480"/>
        <c:crosses val="autoZero"/>
        <c:crossBetween val="between"/>
      </c:valAx>
      <c:spPr>
        <a:ln w="25400">
          <a:solidFill>
            <a:schemeClr val="tx1"/>
          </a:solidFill>
        </a:ln>
      </c:spPr>
    </c:plotArea>
    <c:legend>
      <c:legendPos val="t"/>
      <c:layout/>
      <c:overlay val="0"/>
      <c:txPr>
        <a:bodyPr/>
        <a:lstStyle/>
        <a:p>
          <a:pPr>
            <a:defRPr b="1">
              <a:latin typeface="Arial" panose="020B0604020202020204" pitchFamily="34" charset="0"/>
              <a:cs typeface="Arial" panose="020B0604020202020204" pitchFamily="34" charset="0"/>
            </a:defRPr>
          </a:pPr>
          <a:endParaRPr lang="en-US"/>
        </a:p>
      </c:txPr>
    </c:legend>
    <c:plotVisOnly val="1"/>
    <c:dispBlanksAs val="gap"/>
    <c:showDLblsOverMax val="0"/>
  </c:chart>
  <c:spPr>
    <a:ln w="38100">
      <a:solidFill>
        <a:schemeClr val="tx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anose="020B0604020202020204" pitchFamily="34" charset="0"/>
                <a:cs typeface="Arial" panose="020B0604020202020204" pitchFamily="34" charset="0"/>
              </a:defRPr>
            </a:pPr>
            <a:r>
              <a:rPr lang="en-US" sz="1100">
                <a:latin typeface="Arial" panose="020B0604020202020204" pitchFamily="34" charset="0"/>
                <a:cs typeface="Arial" panose="020B0604020202020204" pitchFamily="34" charset="0"/>
              </a:rPr>
              <a:t>Nominal Cash Flows</a:t>
            </a:r>
          </a:p>
        </c:rich>
      </c:tx>
      <c:layout/>
      <c:overlay val="0"/>
    </c:title>
    <c:autoTitleDeleted val="0"/>
    <c:plotArea>
      <c:layout/>
      <c:barChart>
        <c:barDir val="col"/>
        <c:grouping val="clustered"/>
        <c:varyColors val="0"/>
        <c:ser>
          <c:idx val="0"/>
          <c:order val="0"/>
          <c:tx>
            <c:v>Annual pre-tax cash flows (calves + cull cow)</c:v>
          </c:tx>
          <c:spPr>
            <a:solidFill>
              <a:srgbClr val="0000FF"/>
            </a:solidFill>
            <a:ln w="12700">
              <a:noFill/>
            </a:ln>
          </c:spPr>
          <c:invertIfNegative val="0"/>
          <c:cat>
            <c:multiLvlStrRef>
              <c:f>Blank!$D$39:$S$40</c:f>
              <c:multiLvlStrCache>
                <c:ptCount val="16"/>
                <c:lvl>
                  <c:pt idx="0">
                    <c:v>Purchase</c:v>
                  </c:pt>
                  <c:pt idx="1">
                    <c:v>Year 1</c:v>
                  </c:pt>
                  <c:pt idx="2">
                    <c:v>Year 2</c:v>
                  </c:pt>
                  <c:pt idx="3">
                    <c:v>Year 3</c:v>
                  </c:pt>
                  <c:pt idx="4">
                    <c:v>Year 4</c:v>
                  </c:pt>
                  <c:pt idx="5">
                    <c:v>Year 5</c:v>
                  </c:pt>
                  <c:pt idx="6">
                    <c:v>Year 6</c:v>
                  </c:pt>
                  <c:pt idx="7">
                    <c:v>Year 7</c:v>
                  </c:pt>
                  <c:pt idx="8">
                    <c:v>Year 8</c:v>
                  </c:pt>
                  <c:pt idx="9">
                    <c:v>Year 9</c:v>
                  </c:pt>
                  <c:pt idx="10">
                    <c:v>Year 10</c:v>
                  </c:pt>
                  <c:pt idx="11">
                    <c:v>Year 11</c:v>
                  </c:pt>
                  <c:pt idx="12">
                    <c:v>Year 12</c:v>
                  </c:pt>
                  <c:pt idx="13">
                    <c:v>Year 13</c:v>
                  </c:pt>
                  <c:pt idx="14">
                    <c:v>Year 14</c:v>
                  </c:pt>
                  <c:pt idx="15">
                    <c:v>Year 15</c:v>
                  </c:pt>
                </c:lvl>
                <c:lvl>
                  <c:pt idx="0">
                    <c:v>Initial</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lvl>
              </c:multiLvlStrCache>
            </c:multiLvlStrRef>
          </c:cat>
          <c:val>
            <c:numRef>
              <c:f>Blank!$D$47:$S$47</c:f>
              <c:numCache>
                <c:formatCode>"$"#,##0_);[Red]\("$"#,##0\)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6r2="http://schemas.microsoft.com/office/drawing/2015/06/chart">
            <c:ext xmlns:c16="http://schemas.microsoft.com/office/drawing/2014/chart" uri="{C3380CC4-5D6E-409C-BE32-E72D297353CC}">
              <c16:uniqueId val="{00000000-9E74-4072-9765-4FBD8E8C3B9F}"/>
            </c:ext>
          </c:extLst>
        </c:ser>
        <c:ser>
          <c:idx val="3"/>
          <c:order val="1"/>
          <c:tx>
            <c:v>Annual pre-tax cash flows (calves)</c:v>
          </c:tx>
          <c:spPr>
            <a:solidFill>
              <a:srgbClr val="00CCFF"/>
            </a:solidFill>
            <a:ln w="12700">
              <a:noFill/>
            </a:ln>
          </c:spPr>
          <c:invertIfNegative val="0"/>
          <c:val>
            <c:numRef>
              <c:f>Blank!$D$48:$S$48</c:f>
              <c:numCache>
                <c:formatCode>"$"#,##0_);[Red]\("$"#,##0\)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6r2="http://schemas.microsoft.com/office/drawing/2015/06/chart">
            <c:ext xmlns:c16="http://schemas.microsoft.com/office/drawing/2014/chart" uri="{C3380CC4-5D6E-409C-BE32-E72D297353CC}">
              <c16:uniqueId val="{00000001-9E74-4072-9765-4FBD8E8C3B9F}"/>
            </c:ext>
          </c:extLst>
        </c:ser>
        <c:dLbls>
          <c:showLegendKey val="0"/>
          <c:showVal val="0"/>
          <c:showCatName val="0"/>
          <c:showSerName val="0"/>
          <c:showPercent val="0"/>
          <c:showBubbleSize val="0"/>
        </c:dLbls>
        <c:gapWidth val="150"/>
        <c:axId val="434275424"/>
        <c:axId val="434274640"/>
      </c:barChart>
      <c:lineChart>
        <c:grouping val="standard"/>
        <c:varyColors val="0"/>
        <c:ser>
          <c:idx val="1"/>
          <c:order val="2"/>
          <c:tx>
            <c:v>Cumulative value of annual pre-tax cash flows (calves + cull cow)</c:v>
          </c:tx>
          <c:spPr>
            <a:ln w="31750">
              <a:solidFill>
                <a:srgbClr val="FF0000"/>
              </a:solidFill>
            </a:ln>
          </c:spPr>
          <c:marker>
            <c:symbol val="circle"/>
            <c:size val="5"/>
            <c:spPr>
              <a:solidFill>
                <a:srgbClr val="0000FF"/>
              </a:solidFill>
              <a:ln>
                <a:solidFill>
                  <a:srgbClr val="FF0000"/>
                </a:solidFill>
              </a:ln>
            </c:spPr>
          </c:marker>
          <c:val>
            <c:numRef>
              <c:f>Blank!$D$52:$S$52</c:f>
              <c:numCache>
                <c:formatCode>"$"#,##0_);[Red]\("$"#,##0\)</c:formatCode>
                <c:ptCount val="16"/>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mooth val="0"/>
          <c:extLst xmlns:c16r2="http://schemas.microsoft.com/office/drawing/2015/06/chart">
            <c:ext xmlns:c16="http://schemas.microsoft.com/office/drawing/2014/chart" uri="{C3380CC4-5D6E-409C-BE32-E72D297353CC}">
              <c16:uniqueId val="{00000002-9E74-4072-9765-4FBD8E8C3B9F}"/>
            </c:ext>
          </c:extLst>
        </c:ser>
        <c:ser>
          <c:idx val="2"/>
          <c:order val="3"/>
          <c:tx>
            <c:v>Cumulative value of annual pre-tax cash flows (calves)</c:v>
          </c:tx>
          <c:spPr>
            <a:ln w="31750">
              <a:solidFill>
                <a:srgbClr val="FF0000"/>
              </a:solidFill>
            </a:ln>
          </c:spPr>
          <c:marker>
            <c:symbol val="circle"/>
            <c:size val="5"/>
            <c:spPr>
              <a:solidFill>
                <a:srgbClr val="00CCFF"/>
              </a:solidFill>
              <a:ln>
                <a:solidFill>
                  <a:srgbClr val="FF0000"/>
                </a:solidFill>
              </a:ln>
            </c:spPr>
          </c:marker>
          <c:val>
            <c:numRef>
              <c:f>Blank!$D$53:$S$53</c:f>
              <c:numCache>
                <c:formatCode>"$"#,##0_);[Red]\("$"#,##0\)</c:formatCode>
                <c:ptCount val="16"/>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mooth val="0"/>
          <c:extLst xmlns:c16r2="http://schemas.microsoft.com/office/drawing/2015/06/chart">
            <c:ext xmlns:c16="http://schemas.microsoft.com/office/drawing/2014/chart" uri="{C3380CC4-5D6E-409C-BE32-E72D297353CC}">
              <c16:uniqueId val="{00000003-9E74-4072-9765-4FBD8E8C3B9F}"/>
            </c:ext>
          </c:extLst>
        </c:ser>
        <c:dLbls>
          <c:showLegendKey val="0"/>
          <c:showVal val="0"/>
          <c:showCatName val="0"/>
          <c:showSerName val="0"/>
          <c:showPercent val="0"/>
          <c:showBubbleSize val="0"/>
        </c:dLbls>
        <c:marker val="1"/>
        <c:smooth val="0"/>
        <c:axId val="434275424"/>
        <c:axId val="434274640"/>
      </c:lineChart>
      <c:catAx>
        <c:axId val="434275424"/>
        <c:scaling>
          <c:orientation val="minMax"/>
        </c:scaling>
        <c:delete val="0"/>
        <c:axPos val="b"/>
        <c:numFmt formatCode="General" sourceLinked="0"/>
        <c:majorTickMark val="out"/>
        <c:minorTickMark val="none"/>
        <c:tickLblPos val="low"/>
        <c:txPr>
          <a:bodyPr rot="-5400000" vert="horz"/>
          <a:lstStyle/>
          <a:p>
            <a:pPr>
              <a:defRPr sz="900" b="1">
                <a:latin typeface="Arial" panose="020B0604020202020204" pitchFamily="34" charset="0"/>
                <a:cs typeface="Arial" panose="020B0604020202020204" pitchFamily="34" charset="0"/>
              </a:defRPr>
            </a:pPr>
            <a:endParaRPr lang="en-US"/>
          </a:p>
        </c:txPr>
        <c:crossAx val="434274640"/>
        <c:crosses val="autoZero"/>
        <c:auto val="1"/>
        <c:lblAlgn val="ctr"/>
        <c:lblOffset val="100"/>
        <c:noMultiLvlLbl val="0"/>
      </c:catAx>
      <c:valAx>
        <c:axId val="434274640"/>
        <c:scaling>
          <c:orientation val="minMax"/>
        </c:scaling>
        <c:delete val="0"/>
        <c:axPos val="l"/>
        <c:majorGridlines/>
        <c:numFmt formatCode="&quot;$&quot;#,##0_);[Red]\(&quot;$&quot;#,##0\)" sourceLinked="1"/>
        <c:majorTickMark val="out"/>
        <c:minorTickMark val="none"/>
        <c:tickLblPos val="nextTo"/>
        <c:txPr>
          <a:bodyPr/>
          <a:lstStyle/>
          <a:p>
            <a:pPr>
              <a:defRPr sz="1000" b="1">
                <a:latin typeface="Arial" panose="020B0604020202020204" pitchFamily="34" charset="0"/>
                <a:cs typeface="Arial" panose="020B0604020202020204" pitchFamily="34" charset="0"/>
              </a:defRPr>
            </a:pPr>
            <a:endParaRPr lang="en-US"/>
          </a:p>
        </c:txPr>
        <c:crossAx val="434275424"/>
        <c:crosses val="autoZero"/>
        <c:crossBetween val="between"/>
      </c:valAx>
      <c:spPr>
        <a:ln w="25400">
          <a:solidFill>
            <a:schemeClr val="tx1"/>
          </a:solidFill>
        </a:ln>
      </c:spPr>
    </c:plotArea>
    <c:legend>
      <c:legendPos val="t"/>
      <c:layout/>
      <c:overlay val="0"/>
      <c:txPr>
        <a:bodyPr/>
        <a:lstStyle/>
        <a:p>
          <a:pPr>
            <a:defRPr sz="1000" b="1">
              <a:latin typeface="Arial" panose="020B0604020202020204" pitchFamily="34" charset="0"/>
              <a:cs typeface="Arial" panose="020B0604020202020204" pitchFamily="34" charset="0"/>
            </a:defRPr>
          </a:pPr>
          <a:endParaRPr lang="en-US"/>
        </a:p>
      </c:txPr>
    </c:legend>
    <c:plotVisOnly val="1"/>
    <c:dispBlanksAs val="gap"/>
    <c:showDLblsOverMax val="0"/>
  </c:chart>
  <c:spPr>
    <a:ln w="38100">
      <a:solidFill>
        <a:schemeClr val="tx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anose="020B0604020202020204" pitchFamily="34" charset="0"/>
                <a:cs typeface="Arial" panose="020B0604020202020204" pitchFamily="34" charset="0"/>
              </a:defRPr>
            </a:pPr>
            <a:r>
              <a:rPr lang="en-US" sz="1100">
                <a:latin typeface="Arial" panose="020B0604020202020204" pitchFamily="34" charset="0"/>
                <a:cs typeface="Arial" panose="020B0604020202020204" pitchFamily="34" charset="0"/>
              </a:rPr>
              <a:t>Discounted Cash Flows</a:t>
            </a:r>
          </a:p>
        </c:rich>
      </c:tx>
      <c:layout/>
      <c:overlay val="0"/>
    </c:title>
    <c:autoTitleDeleted val="0"/>
    <c:plotArea>
      <c:layout/>
      <c:barChart>
        <c:barDir val="col"/>
        <c:grouping val="clustered"/>
        <c:varyColors val="0"/>
        <c:ser>
          <c:idx val="0"/>
          <c:order val="0"/>
          <c:tx>
            <c:v>Annual pre-tax cash flows (calves + cull cow)</c:v>
          </c:tx>
          <c:spPr>
            <a:solidFill>
              <a:srgbClr val="0000FF"/>
            </a:solidFill>
            <a:ln w="12700">
              <a:noFill/>
            </a:ln>
          </c:spPr>
          <c:invertIfNegative val="0"/>
          <c:cat>
            <c:multiLvlStrRef>
              <c:f>Blank!$D$39:$S$40</c:f>
              <c:multiLvlStrCache>
                <c:ptCount val="16"/>
                <c:lvl>
                  <c:pt idx="0">
                    <c:v>Purchase</c:v>
                  </c:pt>
                  <c:pt idx="1">
                    <c:v>Year 1</c:v>
                  </c:pt>
                  <c:pt idx="2">
                    <c:v>Year 2</c:v>
                  </c:pt>
                  <c:pt idx="3">
                    <c:v>Year 3</c:v>
                  </c:pt>
                  <c:pt idx="4">
                    <c:v>Year 4</c:v>
                  </c:pt>
                  <c:pt idx="5">
                    <c:v>Year 5</c:v>
                  </c:pt>
                  <c:pt idx="6">
                    <c:v>Year 6</c:v>
                  </c:pt>
                  <c:pt idx="7">
                    <c:v>Year 7</c:v>
                  </c:pt>
                  <c:pt idx="8">
                    <c:v>Year 8</c:v>
                  </c:pt>
                  <c:pt idx="9">
                    <c:v>Year 9</c:v>
                  </c:pt>
                  <c:pt idx="10">
                    <c:v>Year 10</c:v>
                  </c:pt>
                  <c:pt idx="11">
                    <c:v>Year 11</c:v>
                  </c:pt>
                  <c:pt idx="12">
                    <c:v>Year 12</c:v>
                  </c:pt>
                  <c:pt idx="13">
                    <c:v>Year 13</c:v>
                  </c:pt>
                  <c:pt idx="14">
                    <c:v>Year 14</c:v>
                  </c:pt>
                  <c:pt idx="15">
                    <c:v>Year 15</c:v>
                  </c:pt>
                </c:lvl>
                <c:lvl>
                  <c:pt idx="0">
                    <c:v>Initial</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lvl>
              </c:multiLvlStrCache>
            </c:multiLvlStrRef>
          </c:cat>
          <c:val>
            <c:numRef>
              <c:f>Blank!$D$59:$S$59</c:f>
              <c:numCache>
                <c:formatCode>"$"#,##0_);[Red]\("$"#,##0\)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6r2="http://schemas.microsoft.com/office/drawing/2015/06/chart">
            <c:ext xmlns:c16="http://schemas.microsoft.com/office/drawing/2014/chart" uri="{C3380CC4-5D6E-409C-BE32-E72D297353CC}">
              <c16:uniqueId val="{00000000-3160-4D37-97E8-4B8E001800AA}"/>
            </c:ext>
          </c:extLst>
        </c:ser>
        <c:ser>
          <c:idx val="3"/>
          <c:order val="3"/>
          <c:tx>
            <c:v>Annual pre-tax cash flows (calves)</c:v>
          </c:tx>
          <c:spPr>
            <a:solidFill>
              <a:srgbClr val="00CCFF"/>
            </a:solidFill>
          </c:spPr>
          <c:invertIfNegative val="0"/>
          <c:val>
            <c:numRef>
              <c:f>Blank!$D$60:$S$60</c:f>
              <c:numCache>
                <c:formatCode>"$"#,##0_);[Red]\("$"#,##0\)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xmlns:c16r2="http://schemas.microsoft.com/office/drawing/2015/06/chart">
            <c:ext xmlns:c16="http://schemas.microsoft.com/office/drawing/2014/chart" uri="{C3380CC4-5D6E-409C-BE32-E72D297353CC}">
              <c16:uniqueId val="{00000001-3160-4D37-97E8-4B8E001800AA}"/>
            </c:ext>
          </c:extLst>
        </c:ser>
        <c:dLbls>
          <c:showLegendKey val="0"/>
          <c:showVal val="0"/>
          <c:showCatName val="0"/>
          <c:showSerName val="0"/>
          <c:showPercent val="0"/>
          <c:showBubbleSize val="0"/>
        </c:dLbls>
        <c:gapWidth val="150"/>
        <c:axId val="416073992"/>
        <c:axId val="210075304"/>
      </c:barChart>
      <c:lineChart>
        <c:grouping val="standard"/>
        <c:varyColors val="0"/>
        <c:ser>
          <c:idx val="1"/>
          <c:order val="1"/>
          <c:tx>
            <c:v>Cumulative value of annual pre-tax cash flows (calves + cull cow)</c:v>
          </c:tx>
          <c:spPr>
            <a:ln w="31750">
              <a:solidFill>
                <a:srgbClr val="FF0000"/>
              </a:solidFill>
            </a:ln>
          </c:spPr>
          <c:marker>
            <c:symbol val="circle"/>
            <c:size val="5"/>
            <c:spPr>
              <a:solidFill>
                <a:srgbClr val="0000FF"/>
              </a:solidFill>
              <a:ln>
                <a:solidFill>
                  <a:srgbClr val="FF0000"/>
                </a:solidFill>
              </a:ln>
            </c:spPr>
          </c:marker>
          <c:val>
            <c:numRef>
              <c:f>Blank!$D$64:$S$64</c:f>
              <c:numCache>
                <c:formatCode>"$"#,##0_);[Red]\("$"#,##0\)</c:formatCode>
                <c:ptCount val="16"/>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mooth val="0"/>
          <c:extLst xmlns:c16r2="http://schemas.microsoft.com/office/drawing/2015/06/chart">
            <c:ext xmlns:c16="http://schemas.microsoft.com/office/drawing/2014/chart" uri="{C3380CC4-5D6E-409C-BE32-E72D297353CC}">
              <c16:uniqueId val="{00000002-3160-4D37-97E8-4B8E001800AA}"/>
            </c:ext>
          </c:extLst>
        </c:ser>
        <c:ser>
          <c:idx val="2"/>
          <c:order val="2"/>
          <c:tx>
            <c:v>Cumulative value of pre-tax cash flows (calves)</c:v>
          </c:tx>
          <c:spPr>
            <a:ln w="31750">
              <a:solidFill>
                <a:srgbClr val="FF0000"/>
              </a:solidFill>
            </a:ln>
          </c:spPr>
          <c:marker>
            <c:symbol val="circle"/>
            <c:size val="5"/>
            <c:spPr>
              <a:solidFill>
                <a:srgbClr val="00CCFF"/>
              </a:solidFill>
              <a:ln>
                <a:solidFill>
                  <a:srgbClr val="FF0000"/>
                </a:solidFill>
              </a:ln>
            </c:spPr>
          </c:marker>
          <c:val>
            <c:numRef>
              <c:f>Blank!$D$65:$S$65</c:f>
              <c:numCache>
                <c:formatCode>"$"#,##0_);[Red]\("$"#,##0\)</c:formatCode>
                <c:ptCount val="16"/>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numCache>
            </c:numRef>
          </c:val>
          <c:smooth val="0"/>
          <c:extLst xmlns:c16r2="http://schemas.microsoft.com/office/drawing/2015/06/chart">
            <c:ext xmlns:c16="http://schemas.microsoft.com/office/drawing/2014/chart" uri="{C3380CC4-5D6E-409C-BE32-E72D297353CC}">
              <c16:uniqueId val="{00000003-3160-4D37-97E8-4B8E001800AA}"/>
            </c:ext>
          </c:extLst>
        </c:ser>
        <c:dLbls>
          <c:showLegendKey val="0"/>
          <c:showVal val="0"/>
          <c:showCatName val="0"/>
          <c:showSerName val="0"/>
          <c:showPercent val="0"/>
          <c:showBubbleSize val="0"/>
        </c:dLbls>
        <c:marker val="1"/>
        <c:smooth val="0"/>
        <c:axId val="416073992"/>
        <c:axId val="210075304"/>
      </c:lineChart>
      <c:catAx>
        <c:axId val="416073992"/>
        <c:scaling>
          <c:orientation val="minMax"/>
        </c:scaling>
        <c:delete val="0"/>
        <c:axPos val="b"/>
        <c:numFmt formatCode="General" sourceLinked="0"/>
        <c:majorTickMark val="out"/>
        <c:minorTickMark val="none"/>
        <c:tickLblPos val="low"/>
        <c:txPr>
          <a:bodyPr rot="-5400000" vert="horz"/>
          <a:lstStyle/>
          <a:p>
            <a:pPr>
              <a:defRPr sz="900" b="1">
                <a:latin typeface="Arial" panose="020B0604020202020204" pitchFamily="34" charset="0"/>
                <a:cs typeface="Arial" panose="020B0604020202020204" pitchFamily="34" charset="0"/>
              </a:defRPr>
            </a:pPr>
            <a:endParaRPr lang="en-US"/>
          </a:p>
        </c:txPr>
        <c:crossAx val="210075304"/>
        <c:crosses val="autoZero"/>
        <c:auto val="1"/>
        <c:lblAlgn val="ctr"/>
        <c:lblOffset val="100"/>
        <c:noMultiLvlLbl val="0"/>
      </c:catAx>
      <c:valAx>
        <c:axId val="210075304"/>
        <c:scaling>
          <c:orientation val="minMax"/>
        </c:scaling>
        <c:delete val="0"/>
        <c:axPos val="l"/>
        <c:majorGridlines/>
        <c:numFmt formatCode="&quot;$&quot;#,##0_);[Red]\(&quot;$&quot;#,##0\)" sourceLinked="1"/>
        <c:majorTickMark val="out"/>
        <c:minorTickMark val="none"/>
        <c:tickLblPos val="nextTo"/>
        <c:txPr>
          <a:bodyPr/>
          <a:lstStyle/>
          <a:p>
            <a:pPr>
              <a:defRPr sz="1000" b="1">
                <a:latin typeface="Arial" panose="020B0604020202020204" pitchFamily="34" charset="0"/>
                <a:cs typeface="Arial" panose="020B0604020202020204" pitchFamily="34" charset="0"/>
              </a:defRPr>
            </a:pPr>
            <a:endParaRPr lang="en-US"/>
          </a:p>
        </c:txPr>
        <c:crossAx val="416073992"/>
        <c:crosses val="autoZero"/>
        <c:crossBetween val="between"/>
      </c:valAx>
      <c:spPr>
        <a:ln w="25400">
          <a:solidFill>
            <a:schemeClr val="tx1"/>
          </a:solidFill>
        </a:ln>
      </c:spPr>
    </c:plotArea>
    <c:legend>
      <c:legendPos val="t"/>
      <c:layout/>
      <c:overlay val="0"/>
      <c:txPr>
        <a:bodyPr/>
        <a:lstStyle/>
        <a:p>
          <a:pPr>
            <a:defRPr b="1">
              <a:latin typeface="Arial" panose="020B0604020202020204" pitchFamily="34" charset="0"/>
              <a:cs typeface="Arial" panose="020B0604020202020204" pitchFamily="34" charset="0"/>
            </a:defRPr>
          </a:pPr>
          <a:endParaRPr lang="en-US"/>
        </a:p>
      </c:txPr>
    </c:legend>
    <c:plotVisOnly val="1"/>
    <c:dispBlanksAs val="gap"/>
    <c:showDLblsOverMax val="0"/>
  </c:chart>
  <c:spPr>
    <a:ln w="38100">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31750</xdr:colOff>
      <xdr:row>78</xdr:row>
      <xdr:rowOff>5290</xdr:rowOff>
    </xdr:from>
    <xdr:to>
      <xdr:col>9</xdr:col>
      <xdr:colOff>361950</xdr:colOff>
      <xdr:row>102</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28364</xdr:colOff>
      <xdr:row>104</xdr:row>
      <xdr:rowOff>23284</xdr:rowOff>
    </xdr:from>
    <xdr:to>
      <xdr:col>12</xdr:col>
      <xdr:colOff>65617</xdr:colOff>
      <xdr:row>107</xdr:row>
      <xdr:rowOff>119804</xdr:rowOff>
    </xdr:to>
    <xdr:pic>
      <xdr:nvPicPr>
        <xdr:cNvPr id="5"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4490297" y="15254817"/>
          <a:ext cx="3169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495300</xdr:colOff>
      <xdr:row>78</xdr:row>
      <xdr:rowOff>9524</xdr:rowOff>
    </xdr:from>
    <xdr:to>
      <xdr:col>19</xdr:col>
      <xdr:colOff>9526</xdr:colOff>
      <xdr:row>102</xdr:row>
      <xdr:rowOff>152399</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31750</xdr:colOff>
      <xdr:row>78</xdr:row>
      <xdr:rowOff>5290</xdr:rowOff>
    </xdr:from>
    <xdr:to>
      <xdr:col>9</xdr:col>
      <xdr:colOff>361950</xdr:colOff>
      <xdr:row>102</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28364</xdr:colOff>
      <xdr:row>104</xdr:row>
      <xdr:rowOff>23284</xdr:rowOff>
    </xdr:from>
    <xdr:to>
      <xdr:col>12</xdr:col>
      <xdr:colOff>65617</xdr:colOff>
      <xdr:row>107</xdr:row>
      <xdr:rowOff>119804</xdr:rowOff>
    </xdr:to>
    <xdr:pic>
      <xdr:nvPicPr>
        <xdr:cNvPr id="3"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4478444" y="16764424"/>
          <a:ext cx="3161453" cy="576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495300</xdr:colOff>
      <xdr:row>78</xdr:row>
      <xdr:rowOff>9524</xdr:rowOff>
    </xdr:from>
    <xdr:to>
      <xdr:col>19</xdr:col>
      <xdr:colOff>9526</xdr:colOff>
      <xdr:row>102</xdr:row>
      <xdr:rowOff>152399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xtension.iastate.edu/agdm/livestock/html/b1-74.html" TargetMode="External"/><Relationship Id="rId1" Type="http://schemas.openxmlformats.org/officeDocument/2006/relationships/hyperlink" Target="mailto:lschulz@iastate.edu?subject=AgDM%20Net%20Present%20Value%20of%20Beef%20Replacement%20Femal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extension.iastate.edu/agdm/livestock/html/b1-74.html" TargetMode="External"/><Relationship Id="rId1" Type="http://schemas.openxmlformats.org/officeDocument/2006/relationships/hyperlink" Target="mailto:lschulz@iastate.edu?subject=AgDM%20Net%20Present%20Value%20of%20Beef%20Replacement%20Female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S113"/>
  <sheetViews>
    <sheetView showGridLines="0" tabSelected="1" zoomScaleNormal="100" workbookViewId="0"/>
  </sheetViews>
  <sheetFormatPr defaultColWidth="9.109375" defaultRowHeight="13.8"/>
  <cols>
    <col min="1" max="1" width="1.6640625" style="100" customWidth="1"/>
    <col min="2" max="2" width="1.6640625" style="101" customWidth="1"/>
    <col min="3" max="3" width="25.109375" style="98" customWidth="1"/>
    <col min="4" max="11" width="9.109375" style="98" customWidth="1"/>
    <col min="12" max="12" width="9.109375" style="98"/>
    <col min="13" max="13" width="9.6640625" style="98" customWidth="1"/>
    <col min="14" max="16384" width="9.109375" style="98"/>
  </cols>
  <sheetData>
    <row r="1" spans="1:19" s="43" customFormat="1" ht="18" thickBot="1">
      <c r="C1" s="43" t="s">
        <v>38</v>
      </c>
    </row>
    <row r="2" spans="1:19" s="48" customFormat="1" ht="14.4" thickTop="1">
      <c r="A2" s="44"/>
      <c r="B2" s="45"/>
      <c r="C2" s="46" t="s">
        <v>0</v>
      </c>
      <c r="D2" s="46"/>
      <c r="E2" s="46"/>
      <c r="F2" s="47"/>
    </row>
    <row r="3" spans="1:19" s="48" customFormat="1" ht="13.2">
      <c r="A3" s="44"/>
      <c r="B3" s="45"/>
      <c r="C3" s="49" t="s">
        <v>54</v>
      </c>
      <c r="F3" s="47"/>
    </row>
    <row r="4" spans="1:19" s="48" customFormat="1" ht="12.75" customHeight="1">
      <c r="A4" s="44"/>
      <c r="B4" s="45"/>
      <c r="C4" s="50"/>
      <c r="D4" s="50"/>
    </row>
    <row r="5" spans="1:19" s="53" customFormat="1" ht="12.75" customHeight="1">
      <c r="A5" s="51"/>
      <c r="B5" s="52"/>
      <c r="C5" s="113" t="s">
        <v>1</v>
      </c>
      <c r="D5" s="113"/>
      <c r="E5" s="113"/>
      <c r="F5" s="113"/>
      <c r="G5" s="9"/>
    </row>
    <row r="6" spans="1:19" s="53" customFormat="1" ht="12.75" customHeight="1">
      <c r="A6" s="51"/>
      <c r="B6" s="52"/>
      <c r="C6" s="110" t="s">
        <v>52</v>
      </c>
      <c r="D6" s="111"/>
      <c r="E6" s="111"/>
      <c r="F6" s="112"/>
      <c r="G6" s="2"/>
    </row>
    <row r="7" spans="1:19" s="53" customFormat="1" ht="12.75" customHeight="1">
      <c r="A7" s="51"/>
      <c r="B7" s="52"/>
      <c r="C7" s="38" t="s">
        <v>67</v>
      </c>
      <c r="D7" s="39"/>
      <c r="E7" s="39"/>
      <c r="F7" s="40"/>
      <c r="G7" s="2"/>
    </row>
    <row r="8" spans="1:19" s="56" customFormat="1" ht="12.75" customHeight="1">
      <c r="A8" s="54"/>
      <c r="B8" s="55"/>
      <c r="C8" s="8"/>
      <c r="D8" s="8"/>
      <c r="E8" s="8"/>
      <c r="F8" s="8"/>
      <c r="G8" s="8"/>
    </row>
    <row r="9" spans="1:19" s="56" customFormat="1" ht="12.75" customHeight="1">
      <c r="A9" s="54"/>
      <c r="B9" s="55"/>
      <c r="C9" s="12" t="s">
        <v>15</v>
      </c>
      <c r="D9" s="12"/>
      <c r="E9" s="8"/>
      <c r="F9" s="8"/>
      <c r="G9" s="8"/>
    </row>
    <row r="10" spans="1:19" s="56" customFormat="1" ht="12.75" customHeight="1">
      <c r="A10" s="54"/>
      <c r="B10" s="55"/>
      <c r="C10" s="13" t="s">
        <v>39</v>
      </c>
      <c r="D10" s="13"/>
      <c r="F10" s="24">
        <v>1680</v>
      </c>
      <c r="H10" s="15" t="s">
        <v>4</v>
      </c>
      <c r="I10" s="15"/>
      <c r="J10" s="15"/>
      <c r="K10" s="13"/>
      <c r="L10" s="23">
        <v>7</v>
      </c>
    </row>
    <row r="11" spans="1:19" s="56" customFormat="1" ht="12.75" customHeight="1">
      <c r="A11" s="54"/>
      <c r="B11" s="55"/>
      <c r="C11" s="15" t="s">
        <v>2</v>
      </c>
      <c r="D11" s="15"/>
      <c r="E11" s="15"/>
      <c r="F11" s="22">
        <v>2016</v>
      </c>
      <c r="H11" s="8" t="s">
        <v>20</v>
      </c>
      <c r="I11" s="8"/>
      <c r="J11" s="8"/>
      <c r="K11" s="8"/>
      <c r="L11" s="25">
        <v>0.05</v>
      </c>
    </row>
    <row r="12" spans="1:19" s="56" customFormat="1" ht="12.75" customHeight="1">
      <c r="A12" s="54"/>
      <c r="B12" s="55"/>
      <c r="C12" s="15" t="s">
        <v>3</v>
      </c>
      <c r="D12" s="15"/>
      <c r="E12" s="15"/>
      <c r="F12" s="22">
        <v>2016</v>
      </c>
    </row>
    <row r="13" spans="1:19" s="56" customFormat="1" ht="12.75" customHeight="1">
      <c r="A13" s="54"/>
      <c r="B13" s="55"/>
      <c r="D13" s="15"/>
      <c r="E13" s="15"/>
      <c r="H13" s="8"/>
      <c r="I13" s="8"/>
      <c r="J13" s="8"/>
      <c r="K13" s="8"/>
      <c r="L13" s="21"/>
    </row>
    <row r="14" spans="1:19" s="56" customFormat="1" ht="12.75" customHeight="1">
      <c r="A14" s="54"/>
      <c r="B14" s="55"/>
      <c r="C14" s="57" t="s">
        <v>16</v>
      </c>
      <c r="D14" s="57"/>
      <c r="I14" s="58"/>
      <c r="J14" s="16"/>
      <c r="K14" s="17"/>
      <c r="L14" s="16"/>
      <c r="M14" s="17"/>
      <c r="N14" s="16"/>
      <c r="O14" s="17"/>
    </row>
    <row r="15" spans="1:19" s="56" customFormat="1" ht="12.75" customHeight="1">
      <c r="A15" s="54"/>
      <c r="B15" s="55"/>
      <c r="C15" s="106" t="s">
        <v>5</v>
      </c>
      <c r="D15" s="106"/>
      <c r="E15" s="107">
        <f>F11</f>
        <v>2016</v>
      </c>
      <c r="F15" s="108">
        <f>+E15+1</f>
        <v>2017</v>
      </c>
      <c r="G15" s="108">
        <f t="shared" ref="G15:O15" si="0">+F15+1</f>
        <v>2018</v>
      </c>
      <c r="H15" s="108">
        <f t="shared" si="0"/>
        <v>2019</v>
      </c>
      <c r="I15" s="108">
        <f t="shared" si="0"/>
        <v>2020</v>
      </c>
      <c r="J15" s="108">
        <f t="shared" si="0"/>
        <v>2021</v>
      </c>
      <c r="K15" s="108">
        <f t="shared" si="0"/>
        <v>2022</v>
      </c>
      <c r="L15" s="108">
        <f t="shared" si="0"/>
        <v>2023</v>
      </c>
      <c r="M15" s="108">
        <f t="shared" si="0"/>
        <v>2024</v>
      </c>
      <c r="N15" s="108">
        <f t="shared" si="0"/>
        <v>2025</v>
      </c>
      <c r="O15" s="108">
        <f t="shared" si="0"/>
        <v>2026</v>
      </c>
      <c r="P15" s="108">
        <f t="shared" ref="P15" si="1">+O15+1</f>
        <v>2027</v>
      </c>
      <c r="Q15" s="108">
        <f t="shared" ref="Q15" si="2">+P15+1</f>
        <v>2028</v>
      </c>
      <c r="R15" s="108">
        <f t="shared" ref="R15" si="3">+Q15+1</f>
        <v>2029</v>
      </c>
      <c r="S15" s="108">
        <f t="shared" ref="S15" si="4">+R15+1</f>
        <v>2030</v>
      </c>
    </row>
    <row r="16" spans="1:19" s="56" customFormat="1" ht="12.75" customHeight="1">
      <c r="A16" s="54"/>
      <c r="B16" s="55"/>
      <c r="C16" s="60" t="s">
        <v>61</v>
      </c>
      <c r="E16" s="58" t="str">
        <f>IF(AND(E15&gt;=$F$12,E15&lt;=$F$12+$L$10-1),"Yes","No")</f>
        <v>Yes</v>
      </c>
      <c r="F16" s="58" t="str">
        <f t="shared" ref="F16:O16" si="5">IF(AND(F15&gt;=$F$12,F15&lt;=$F$12+$L$10-1),"Yes","No")</f>
        <v>Yes</v>
      </c>
      <c r="G16" s="58" t="str">
        <f t="shared" si="5"/>
        <v>Yes</v>
      </c>
      <c r="H16" s="58" t="str">
        <f t="shared" si="5"/>
        <v>Yes</v>
      </c>
      <c r="I16" s="58" t="str">
        <f t="shared" si="5"/>
        <v>Yes</v>
      </c>
      <c r="J16" s="58" t="str">
        <f t="shared" si="5"/>
        <v>Yes</v>
      </c>
      <c r="K16" s="58" t="str">
        <f t="shared" si="5"/>
        <v>Yes</v>
      </c>
      <c r="L16" s="58" t="str">
        <f t="shared" si="5"/>
        <v>No</v>
      </c>
      <c r="M16" s="58" t="str">
        <f t="shared" si="5"/>
        <v>No</v>
      </c>
      <c r="N16" s="58" t="str">
        <f t="shared" si="5"/>
        <v>No</v>
      </c>
      <c r="O16" s="58" t="str">
        <f t="shared" si="5"/>
        <v>No</v>
      </c>
      <c r="P16" s="58" t="str">
        <f t="shared" ref="P16:S16" si="6">IF(AND(P15&gt;=$F$12,P15&lt;=$F$12+$L$10-1),"Yes","No")</f>
        <v>No</v>
      </c>
      <c r="Q16" s="58" t="str">
        <f t="shared" si="6"/>
        <v>No</v>
      </c>
      <c r="R16" s="58" t="str">
        <f t="shared" si="6"/>
        <v>No</v>
      </c>
      <c r="S16" s="58" t="str">
        <f t="shared" si="6"/>
        <v>No</v>
      </c>
    </row>
    <row r="17" spans="1:19" s="56" customFormat="1" ht="12.75" customHeight="1">
      <c r="A17" s="54"/>
      <c r="B17" s="55"/>
      <c r="C17" s="61"/>
      <c r="D17" s="61"/>
      <c r="E17" s="14"/>
      <c r="F17" s="14"/>
      <c r="G17" s="14"/>
      <c r="H17" s="14"/>
      <c r="I17" s="14"/>
      <c r="J17" s="14"/>
      <c r="K17" s="14"/>
      <c r="L17" s="14"/>
      <c r="M17" s="14"/>
      <c r="N17" s="14"/>
    </row>
    <row r="18" spans="1:19" s="56" customFormat="1" ht="12.75" customHeight="1">
      <c r="A18" s="54"/>
      <c r="B18" s="55"/>
      <c r="C18" s="60" t="s">
        <v>55</v>
      </c>
      <c r="E18" s="42">
        <v>1</v>
      </c>
      <c r="F18" s="42">
        <v>1</v>
      </c>
      <c r="G18" s="42">
        <v>1</v>
      </c>
      <c r="H18" s="42">
        <v>1</v>
      </c>
      <c r="I18" s="42">
        <v>1</v>
      </c>
      <c r="J18" s="42">
        <v>1</v>
      </c>
      <c r="K18" s="42">
        <v>1</v>
      </c>
      <c r="L18" s="42"/>
      <c r="M18" s="42"/>
      <c r="N18" s="42"/>
      <c r="O18" s="42"/>
      <c r="P18" s="42"/>
      <c r="Q18" s="42"/>
      <c r="R18" s="42"/>
      <c r="S18" s="42"/>
    </row>
    <row r="19" spans="1:19" s="56" customFormat="1" ht="12.75" customHeight="1">
      <c r="A19" s="54"/>
      <c r="B19" s="55"/>
      <c r="C19" s="62"/>
      <c r="D19" s="62"/>
      <c r="E19" s="29"/>
      <c r="F19" s="29"/>
      <c r="G19" s="29"/>
      <c r="H19" s="63"/>
      <c r="I19" s="63"/>
      <c r="J19" s="63"/>
      <c r="K19" s="63"/>
      <c r="L19" s="63"/>
      <c r="M19" s="63"/>
      <c r="N19" s="63"/>
      <c r="O19" s="63"/>
      <c r="P19" s="63"/>
      <c r="Q19" s="63"/>
      <c r="R19" s="63"/>
      <c r="S19" s="63"/>
    </row>
    <row r="20" spans="1:19" s="56" customFormat="1" ht="12.75" customHeight="1">
      <c r="A20" s="54"/>
      <c r="B20" s="55"/>
      <c r="C20" s="62" t="s">
        <v>6</v>
      </c>
      <c r="D20" s="62"/>
      <c r="E20" s="30">
        <v>475</v>
      </c>
      <c r="F20" s="30">
        <v>500</v>
      </c>
      <c r="G20" s="30">
        <v>525</v>
      </c>
      <c r="H20" s="30">
        <v>540</v>
      </c>
      <c r="I20" s="30">
        <v>540</v>
      </c>
      <c r="J20" s="30">
        <v>525</v>
      </c>
      <c r="K20" s="30">
        <v>525</v>
      </c>
      <c r="L20" s="30"/>
      <c r="M20" s="30"/>
      <c r="N20" s="30"/>
      <c r="O20" s="30"/>
      <c r="P20" s="30"/>
      <c r="Q20" s="30"/>
      <c r="R20" s="30"/>
      <c r="S20" s="30"/>
    </row>
    <row r="21" spans="1:19" s="56" customFormat="1" ht="12.75" customHeight="1">
      <c r="A21" s="54"/>
      <c r="B21" s="55"/>
      <c r="C21" s="62" t="s">
        <v>7</v>
      </c>
      <c r="D21" s="62"/>
      <c r="E21" s="31">
        <v>213</v>
      </c>
      <c r="F21" s="31">
        <v>213</v>
      </c>
      <c r="G21" s="31">
        <v>201</v>
      </c>
      <c r="H21" s="31">
        <v>188</v>
      </c>
      <c r="I21" s="31">
        <v>188</v>
      </c>
      <c r="J21" s="31">
        <v>187</v>
      </c>
      <c r="K21" s="31">
        <v>184</v>
      </c>
      <c r="L21" s="31"/>
      <c r="M21" s="31"/>
      <c r="N21" s="31"/>
      <c r="O21" s="31"/>
      <c r="P21" s="31"/>
      <c r="Q21" s="31"/>
      <c r="R21" s="31"/>
      <c r="S21" s="31"/>
    </row>
    <row r="22" spans="1:19" s="56" customFormat="1" ht="12.75" customHeight="1">
      <c r="A22" s="54"/>
      <c r="B22" s="55"/>
      <c r="C22" s="62"/>
      <c r="D22" s="62"/>
      <c r="E22" s="29"/>
      <c r="F22" s="29"/>
      <c r="G22" s="29"/>
      <c r="H22" s="64"/>
      <c r="I22" s="64"/>
      <c r="J22" s="64"/>
      <c r="K22" s="64"/>
      <c r="L22" s="64"/>
      <c r="M22" s="63"/>
      <c r="N22" s="63"/>
      <c r="O22" s="63"/>
      <c r="P22" s="63"/>
      <c r="Q22" s="63"/>
      <c r="R22" s="63"/>
      <c r="S22" s="63"/>
    </row>
    <row r="23" spans="1:19" s="56" customFormat="1" ht="12.75" customHeight="1">
      <c r="A23" s="54"/>
      <c r="B23" s="55"/>
      <c r="C23" s="62" t="s">
        <v>8</v>
      </c>
      <c r="D23" s="62"/>
      <c r="E23" s="32">
        <v>435</v>
      </c>
      <c r="F23" s="32">
        <v>460</v>
      </c>
      <c r="G23" s="32">
        <v>485</v>
      </c>
      <c r="H23" s="32">
        <v>500</v>
      </c>
      <c r="I23" s="32">
        <v>500</v>
      </c>
      <c r="J23" s="32">
        <v>485</v>
      </c>
      <c r="K23" s="32">
        <v>485</v>
      </c>
      <c r="L23" s="32"/>
      <c r="M23" s="32"/>
      <c r="N23" s="32"/>
      <c r="O23" s="32"/>
      <c r="P23" s="32"/>
      <c r="Q23" s="32"/>
      <c r="R23" s="32"/>
      <c r="S23" s="32"/>
    </row>
    <row r="24" spans="1:19" s="56" customFormat="1" ht="12.75" customHeight="1">
      <c r="A24" s="54"/>
      <c r="B24" s="55"/>
      <c r="C24" s="62" t="s">
        <v>9</v>
      </c>
      <c r="D24" s="62"/>
      <c r="E24" s="31">
        <v>203</v>
      </c>
      <c r="F24" s="31">
        <v>203</v>
      </c>
      <c r="G24" s="31">
        <v>191</v>
      </c>
      <c r="H24" s="31">
        <v>178</v>
      </c>
      <c r="I24" s="31">
        <v>178</v>
      </c>
      <c r="J24" s="31">
        <v>177</v>
      </c>
      <c r="K24" s="31">
        <v>174</v>
      </c>
      <c r="L24" s="31"/>
      <c r="M24" s="31"/>
      <c r="N24" s="31"/>
      <c r="O24" s="31"/>
      <c r="P24" s="31"/>
      <c r="Q24" s="31"/>
      <c r="R24" s="31"/>
      <c r="S24" s="31"/>
    </row>
    <row r="25" spans="1:19" s="56" customFormat="1" ht="12.75" customHeight="1">
      <c r="A25" s="54"/>
      <c r="B25" s="55"/>
      <c r="C25" s="62"/>
      <c r="D25" s="62"/>
      <c r="E25" s="29"/>
      <c r="F25" s="29"/>
      <c r="G25" s="29"/>
      <c r="H25" s="63"/>
      <c r="I25" s="63"/>
      <c r="J25" s="63"/>
      <c r="K25" s="63"/>
      <c r="L25" s="63"/>
      <c r="M25" s="63"/>
      <c r="N25" s="63"/>
      <c r="O25" s="63"/>
      <c r="P25" s="63"/>
      <c r="Q25" s="63"/>
      <c r="R25" s="63"/>
      <c r="S25" s="63"/>
    </row>
    <row r="26" spans="1:19" s="56" customFormat="1" ht="12.75" customHeight="1">
      <c r="A26" s="54"/>
      <c r="B26" s="55"/>
      <c r="C26" s="62" t="s">
        <v>10</v>
      </c>
      <c r="D26" s="62"/>
      <c r="E26" s="32"/>
      <c r="F26" s="32"/>
      <c r="G26" s="32"/>
      <c r="H26" s="32"/>
      <c r="I26" s="32"/>
      <c r="J26" s="32"/>
      <c r="K26" s="32">
        <v>1310</v>
      </c>
      <c r="L26" s="32"/>
      <c r="M26" s="32"/>
      <c r="N26" s="32"/>
      <c r="O26" s="32"/>
      <c r="P26" s="32"/>
      <c r="Q26" s="32"/>
      <c r="R26" s="32"/>
      <c r="S26" s="32"/>
    </row>
    <row r="27" spans="1:19" s="56" customFormat="1" ht="12.75" customHeight="1">
      <c r="A27" s="54"/>
      <c r="B27" s="55"/>
      <c r="C27" s="62" t="s">
        <v>11</v>
      </c>
      <c r="D27" s="62"/>
      <c r="E27" s="31"/>
      <c r="F27" s="31"/>
      <c r="G27" s="31"/>
      <c r="H27" s="31"/>
      <c r="I27" s="31"/>
      <c r="J27" s="31"/>
      <c r="K27" s="31">
        <v>60</v>
      </c>
      <c r="L27" s="31"/>
      <c r="M27" s="31"/>
      <c r="N27" s="31"/>
      <c r="O27" s="31"/>
      <c r="P27" s="31"/>
      <c r="Q27" s="31"/>
      <c r="R27" s="31"/>
      <c r="S27" s="31"/>
    </row>
    <row r="28" spans="1:19" s="56" customFormat="1" ht="12.75" customHeight="1">
      <c r="A28" s="54"/>
      <c r="B28" s="55"/>
      <c r="C28" s="62"/>
      <c r="D28" s="62"/>
      <c r="E28" s="33"/>
      <c r="F28" s="33"/>
      <c r="G28" s="33"/>
      <c r="H28" s="33"/>
      <c r="I28" s="33"/>
      <c r="J28" s="33"/>
      <c r="K28" s="33"/>
      <c r="L28" s="33"/>
      <c r="M28" s="33"/>
      <c r="N28" s="33"/>
      <c r="O28" s="33"/>
      <c r="P28" s="33"/>
      <c r="Q28" s="33"/>
      <c r="R28" s="33"/>
      <c r="S28" s="33"/>
    </row>
    <row r="29" spans="1:19" s="56" customFormat="1" ht="12.75" customHeight="1">
      <c r="A29" s="54"/>
      <c r="B29" s="55"/>
      <c r="C29" s="62" t="s">
        <v>12</v>
      </c>
      <c r="D29" s="62"/>
      <c r="E29" s="34">
        <f>IF(AND(E16="Yes",E18&gt;0),((((E20*E21)+(E23*E24))/100)/2*E18),0)</f>
        <v>947.4</v>
      </c>
      <c r="F29" s="34">
        <f t="shared" ref="F29:S29" si="7">IF(AND(F16="Yes",F18&gt;0),((((F20*F21)+(F23*F24))/100)/2*F18),0)</f>
        <v>999.4</v>
      </c>
      <c r="G29" s="34">
        <f t="shared" si="7"/>
        <v>990.8</v>
      </c>
      <c r="H29" s="34">
        <f t="shared" si="7"/>
        <v>952.6</v>
      </c>
      <c r="I29" s="34">
        <f t="shared" si="7"/>
        <v>952.6</v>
      </c>
      <c r="J29" s="34">
        <f t="shared" si="7"/>
        <v>920.1</v>
      </c>
      <c r="K29" s="34">
        <f t="shared" si="7"/>
        <v>904.95</v>
      </c>
      <c r="L29" s="34">
        <f t="shared" si="7"/>
        <v>0</v>
      </c>
      <c r="M29" s="34">
        <f t="shared" si="7"/>
        <v>0</v>
      </c>
      <c r="N29" s="34">
        <f t="shared" si="7"/>
        <v>0</v>
      </c>
      <c r="O29" s="34">
        <f t="shared" si="7"/>
        <v>0</v>
      </c>
      <c r="P29" s="34">
        <f t="shared" si="7"/>
        <v>0</v>
      </c>
      <c r="Q29" s="34">
        <f t="shared" si="7"/>
        <v>0</v>
      </c>
      <c r="R29" s="34">
        <f t="shared" si="7"/>
        <v>0</v>
      </c>
      <c r="S29" s="34">
        <f t="shared" si="7"/>
        <v>0</v>
      </c>
    </row>
    <row r="30" spans="1:19" s="56" customFormat="1" ht="12.75" customHeight="1">
      <c r="A30" s="54"/>
      <c r="B30" s="55"/>
      <c r="C30" s="62"/>
      <c r="D30" s="62"/>
      <c r="E30" s="29"/>
      <c r="F30" s="29"/>
      <c r="G30" s="29"/>
      <c r="H30" s="63"/>
      <c r="I30" s="63"/>
      <c r="J30" s="63"/>
      <c r="K30" s="63"/>
      <c r="L30" s="63"/>
      <c r="M30" s="63"/>
      <c r="N30" s="63"/>
      <c r="O30" s="63"/>
      <c r="P30" s="63"/>
      <c r="Q30" s="63"/>
      <c r="R30" s="63"/>
      <c r="S30" s="63"/>
    </row>
    <row r="31" spans="1:19" s="56" customFormat="1" ht="12.75" customHeight="1">
      <c r="A31" s="54"/>
      <c r="B31" s="55"/>
      <c r="C31" s="62" t="s">
        <v>51</v>
      </c>
      <c r="D31" s="62"/>
      <c r="E31" s="35">
        <v>664</v>
      </c>
      <c r="F31" s="35">
        <v>800</v>
      </c>
      <c r="G31" s="35">
        <v>800</v>
      </c>
      <c r="H31" s="35">
        <v>800</v>
      </c>
      <c r="I31" s="35">
        <v>800</v>
      </c>
      <c r="J31" s="35">
        <v>800</v>
      </c>
      <c r="K31" s="35">
        <v>664</v>
      </c>
      <c r="L31" s="35"/>
      <c r="M31" s="35"/>
      <c r="N31" s="35"/>
      <c r="O31" s="35"/>
      <c r="P31" s="35"/>
      <c r="Q31" s="35"/>
      <c r="R31" s="35"/>
      <c r="S31" s="35"/>
    </row>
    <row r="32" spans="1:19" s="56" customFormat="1" ht="12.75" customHeight="1">
      <c r="A32" s="54"/>
      <c r="B32" s="55"/>
      <c r="C32" s="62"/>
      <c r="D32" s="62"/>
      <c r="E32" s="29"/>
      <c r="F32" s="29"/>
      <c r="G32" s="29"/>
      <c r="H32" s="63"/>
      <c r="I32" s="63"/>
      <c r="J32" s="63"/>
      <c r="K32" s="63"/>
      <c r="L32" s="63"/>
      <c r="M32" s="63"/>
      <c r="N32" s="63"/>
      <c r="O32" s="63"/>
      <c r="P32" s="63"/>
      <c r="Q32" s="63"/>
      <c r="R32" s="63"/>
      <c r="S32" s="63"/>
    </row>
    <row r="33" spans="1:19" s="56" customFormat="1" ht="12.75" customHeight="1">
      <c r="A33" s="54"/>
      <c r="B33" s="55"/>
      <c r="C33" s="62" t="s">
        <v>48</v>
      </c>
      <c r="D33" s="62"/>
      <c r="E33" s="29"/>
      <c r="F33" s="29"/>
      <c r="G33" s="29"/>
      <c r="H33" s="63"/>
      <c r="I33" s="63"/>
      <c r="J33" s="63"/>
      <c r="K33" s="63"/>
      <c r="L33" s="63"/>
      <c r="M33" s="63"/>
      <c r="N33" s="63"/>
      <c r="O33" s="63"/>
      <c r="P33" s="63"/>
      <c r="Q33" s="63"/>
      <c r="R33" s="63"/>
      <c r="S33" s="63"/>
    </row>
    <row r="34" spans="1:19" s="56" customFormat="1" ht="12.75" customHeight="1">
      <c r="A34" s="54"/>
      <c r="B34" s="55"/>
      <c r="C34" s="62" t="s">
        <v>49</v>
      </c>
      <c r="D34" s="62"/>
      <c r="E34" s="35"/>
      <c r="F34" s="35"/>
      <c r="G34" s="35"/>
      <c r="H34" s="35"/>
      <c r="I34" s="35"/>
      <c r="J34" s="35"/>
      <c r="K34" s="35"/>
      <c r="L34" s="35"/>
      <c r="M34" s="35"/>
      <c r="N34" s="35"/>
      <c r="O34" s="35"/>
      <c r="P34" s="35"/>
      <c r="Q34" s="35"/>
      <c r="R34" s="35"/>
      <c r="S34" s="35"/>
    </row>
    <row r="35" spans="1:19" s="56" customFormat="1" ht="12.75" customHeight="1">
      <c r="A35" s="54"/>
      <c r="B35" s="55"/>
      <c r="C35" s="62"/>
      <c r="D35" s="62"/>
      <c r="E35" s="29"/>
      <c r="F35" s="29"/>
      <c r="G35" s="29"/>
      <c r="H35" s="63"/>
      <c r="I35" s="63"/>
      <c r="J35" s="63"/>
      <c r="K35" s="63"/>
      <c r="L35" s="63"/>
      <c r="M35" s="63"/>
      <c r="N35" s="63"/>
      <c r="O35" s="63"/>
      <c r="P35" s="63"/>
      <c r="Q35" s="63"/>
      <c r="R35" s="63"/>
      <c r="S35" s="63"/>
    </row>
    <row r="36" spans="1:19" s="56" customFormat="1" ht="12.75" customHeight="1">
      <c r="A36" s="54"/>
      <c r="B36" s="55"/>
      <c r="C36" s="62" t="s">
        <v>17</v>
      </c>
      <c r="D36" s="62"/>
      <c r="E36" s="65"/>
      <c r="F36" s="65"/>
      <c r="G36" s="65"/>
      <c r="H36" s="65"/>
      <c r="I36" s="65"/>
      <c r="J36" s="65"/>
      <c r="K36" s="65"/>
      <c r="L36" s="65"/>
      <c r="M36" s="65"/>
      <c r="N36" s="65"/>
      <c r="O36" s="65"/>
      <c r="P36" s="65"/>
      <c r="Q36" s="65"/>
      <c r="R36" s="65"/>
      <c r="S36" s="65"/>
    </row>
    <row r="37" spans="1:19" s="56" customFormat="1" ht="12.75" customHeight="1">
      <c r="A37" s="54"/>
      <c r="B37" s="55"/>
      <c r="C37" s="62" t="s">
        <v>50</v>
      </c>
      <c r="D37" s="62"/>
      <c r="E37" s="36">
        <f>E29-E31-E34</f>
        <v>283.39999999999998</v>
      </c>
      <c r="F37" s="36">
        <f t="shared" ref="F37:N37" si="8">F29-F31-F34</f>
        <v>199.39999999999998</v>
      </c>
      <c r="G37" s="36">
        <f t="shared" si="8"/>
        <v>190.79999999999995</v>
      </c>
      <c r="H37" s="36">
        <f t="shared" si="8"/>
        <v>152.60000000000002</v>
      </c>
      <c r="I37" s="36">
        <f t="shared" si="8"/>
        <v>152.60000000000002</v>
      </c>
      <c r="J37" s="36">
        <f t="shared" si="8"/>
        <v>120.10000000000002</v>
      </c>
      <c r="K37" s="36">
        <f t="shared" si="8"/>
        <v>240.95000000000005</v>
      </c>
      <c r="L37" s="36">
        <f t="shared" si="8"/>
        <v>0</v>
      </c>
      <c r="M37" s="36">
        <f t="shared" si="8"/>
        <v>0</v>
      </c>
      <c r="N37" s="36">
        <f t="shared" si="8"/>
        <v>0</v>
      </c>
      <c r="O37" s="36">
        <f>O29-O31-O34</f>
        <v>0</v>
      </c>
      <c r="P37" s="36">
        <f t="shared" ref="P37:S37" si="9">P29-P31-P34</f>
        <v>0</v>
      </c>
      <c r="Q37" s="36">
        <f t="shared" si="9"/>
        <v>0</v>
      </c>
      <c r="R37" s="36">
        <f t="shared" si="9"/>
        <v>0</v>
      </c>
      <c r="S37" s="36">
        <f t="shared" si="9"/>
        <v>0</v>
      </c>
    </row>
    <row r="38" spans="1:19" s="56" customFormat="1" ht="12.75" customHeight="1">
      <c r="A38" s="54"/>
      <c r="B38" s="55"/>
      <c r="C38" s="62"/>
      <c r="D38" s="62"/>
      <c r="E38" s="29"/>
      <c r="F38" s="29"/>
      <c r="G38" s="29"/>
      <c r="H38" s="63"/>
      <c r="I38" s="63"/>
      <c r="J38" s="63"/>
      <c r="K38" s="63"/>
      <c r="L38" s="63"/>
      <c r="M38" s="63"/>
      <c r="N38" s="63"/>
      <c r="O38" s="63"/>
      <c r="P38" s="63"/>
      <c r="Q38" s="63"/>
      <c r="R38" s="63"/>
      <c r="S38" s="63"/>
    </row>
    <row r="39" spans="1:19" s="56" customFormat="1" ht="12.75" customHeight="1">
      <c r="A39" s="54"/>
      <c r="B39" s="55"/>
      <c r="C39" s="57" t="s">
        <v>33</v>
      </c>
      <c r="D39" s="59" t="s">
        <v>18</v>
      </c>
      <c r="E39" s="66">
        <f t="shared" ref="E39:S39" si="10">E15</f>
        <v>2016</v>
      </c>
      <c r="F39" s="66">
        <f t="shared" si="10"/>
        <v>2017</v>
      </c>
      <c r="G39" s="66">
        <f t="shared" si="10"/>
        <v>2018</v>
      </c>
      <c r="H39" s="66">
        <f t="shared" si="10"/>
        <v>2019</v>
      </c>
      <c r="I39" s="66">
        <f t="shared" si="10"/>
        <v>2020</v>
      </c>
      <c r="J39" s="66">
        <f t="shared" si="10"/>
        <v>2021</v>
      </c>
      <c r="K39" s="66">
        <f t="shared" si="10"/>
        <v>2022</v>
      </c>
      <c r="L39" s="66">
        <f t="shared" si="10"/>
        <v>2023</v>
      </c>
      <c r="M39" s="66">
        <f t="shared" si="10"/>
        <v>2024</v>
      </c>
      <c r="N39" s="66">
        <f t="shared" si="10"/>
        <v>2025</v>
      </c>
      <c r="O39" s="66">
        <f t="shared" si="10"/>
        <v>2026</v>
      </c>
      <c r="P39" s="66">
        <f t="shared" si="10"/>
        <v>2027</v>
      </c>
      <c r="Q39" s="66">
        <f t="shared" si="10"/>
        <v>2028</v>
      </c>
      <c r="R39" s="66">
        <f t="shared" si="10"/>
        <v>2029</v>
      </c>
      <c r="S39" s="66">
        <f t="shared" si="10"/>
        <v>2030</v>
      </c>
    </row>
    <row r="40" spans="1:19" s="56" customFormat="1" ht="12.75" customHeight="1">
      <c r="A40" s="54"/>
      <c r="B40" s="55"/>
      <c r="C40" s="57"/>
      <c r="D40" s="67" t="s">
        <v>70</v>
      </c>
      <c r="E40" s="68" t="s">
        <v>21</v>
      </c>
      <c r="F40" s="68" t="s">
        <v>22</v>
      </c>
      <c r="G40" s="68" t="s">
        <v>23</v>
      </c>
      <c r="H40" s="68" t="s">
        <v>24</v>
      </c>
      <c r="I40" s="68" t="s">
        <v>25</v>
      </c>
      <c r="J40" s="68" t="s">
        <v>26</v>
      </c>
      <c r="K40" s="68" t="s">
        <v>27</v>
      </c>
      <c r="L40" s="68" t="s">
        <v>28</v>
      </c>
      <c r="M40" s="68" t="s">
        <v>29</v>
      </c>
      <c r="N40" s="68" t="s">
        <v>30</v>
      </c>
      <c r="O40" s="68" t="s">
        <v>31</v>
      </c>
      <c r="P40" s="68" t="s">
        <v>63</v>
      </c>
      <c r="Q40" s="68" t="s">
        <v>64</v>
      </c>
      <c r="R40" s="68" t="s">
        <v>65</v>
      </c>
      <c r="S40" s="68" t="s">
        <v>66</v>
      </c>
    </row>
    <row r="41" spans="1:19" s="56" customFormat="1" ht="12.75" customHeight="1">
      <c r="A41" s="54"/>
      <c r="B41" s="55"/>
      <c r="C41" s="69"/>
      <c r="D41" s="69"/>
      <c r="E41" s="36"/>
      <c r="F41" s="36"/>
      <c r="G41" s="36"/>
      <c r="H41" s="36"/>
      <c r="I41" s="36"/>
      <c r="J41" s="36"/>
      <c r="K41" s="36"/>
      <c r="L41" s="36"/>
      <c r="M41" s="36"/>
      <c r="N41" s="36"/>
      <c r="O41" s="36"/>
      <c r="P41" s="36"/>
      <c r="Q41" s="36"/>
      <c r="R41" s="36"/>
      <c r="S41" s="36"/>
    </row>
    <row r="42" spans="1:19" s="56" customFormat="1" ht="12.75" customHeight="1">
      <c r="A42" s="54"/>
      <c r="B42" s="55"/>
      <c r="C42" s="69" t="s">
        <v>13</v>
      </c>
      <c r="D42" s="69"/>
      <c r="E42" s="36">
        <f t="shared" ref="E42:O42" si="11">E37</f>
        <v>283.39999999999998</v>
      </c>
      <c r="F42" s="36">
        <f t="shared" si="11"/>
        <v>199.39999999999998</v>
      </c>
      <c r="G42" s="36">
        <f t="shared" si="11"/>
        <v>190.79999999999995</v>
      </c>
      <c r="H42" s="36">
        <f t="shared" si="11"/>
        <v>152.60000000000002</v>
      </c>
      <c r="I42" s="36">
        <f t="shared" si="11"/>
        <v>152.60000000000002</v>
      </c>
      <c r="J42" s="36">
        <f t="shared" si="11"/>
        <v>120.10000000000002</v>
      </c>
      <c r="K42" s="36">
        <f t="shared" si="11"/>
        <v>240.95000000000005</v>
      </c>
      <c r="L42" s="36">
        <f t="shared" si="11"/>
        <v>0</v>
      </c>
      <c r="M42" s="36">
        <f t="shared" si="11"/>
        <v>0</v>
      </c>
      <c r="N42" s="36">
        <f t="shared" si="11"/>
        <v>0</v>
      </c>
      <c r="O42" s="36">
        <f t="shared" si="11"/>
        <v>0</v>
      </c>
      <c r="P42" s="36">
        <f t="shared" ref="P42:S42" si="12">P37</f>
        <v>0</v>
      </c>
      <c r="Q42" s="36">
        <f t="shared" si="12"/>
        <v>0</v>
      </c>
      <c r="R42" s="36">
        <f t="shared" si="12"/>
        <v>0</v>
      </c>
      <c r="S42" s="36">
        <f t="shared" si="12"/>
        <v>0</v>
      </c>
    </row>
    <row r="43" spans="1:19" s="56" customFormat="1" ht="12.75" customHeight="1">
      <c r="A43" s="54"/>
      <c r="B43" s="55"/>
      <c r="C43" s="69"/>
      <c r="D43" s="69"/>
      <c r="E43" s="36"/>
      <c r="F43" s="36"/>
      <c r="G43" s="36"/>
      <c r="H43" s="36"/>
      <c r="I43" s="36"/>
      <c r="J43" s="36"/>
      <c r="K43" s="36"/>
      <c r="L43" s="36"/>
      <c r="M43" s="36"/>
      <c r="N43" s="36"/>
      <c r="O43" s="36"/>
      <c r="P43" s="36"/>
      <c r="Q43" s="36"/>
      <c r="R43" s="36"/>
      <c r="S43" s="36"/>
    </row>
    <row r="44" spans="1:19" s="56" customFormat="1" ht="12.75" customHeight="1">
      <c r="A44" s="54"/>
      <c r="B44" s="55"/>
      <c r="C44" s="69" t="s">
        <v>14</v>
      </c>
      <c r="D44" s="69"/>
      <c r="E44" s="36">
        <f t="shared" ref="E44:O44" si="13">E26*E27/100</f>
        <v>0</v>
      </c>
      <c r="F44" s="36">
        <f t="shared" si="13"/>
        <v>0</v>
      </c>
      <c r="G44" s="36">
        <f t="shared" si="13"/>
        <v>0</v>
      </c>
      <c r="H44" s="36">
        <f t="shared" si="13"/>
        <v>0</v>
      </c>
      <c r="I44" s="36">
        <f t="shared" si="13"/>
        <v>0</v>
      </c>
      <c r="J44" s="36">
        <f>J26*J27/100</f>
        <v>0</v>
      </c>
      <c r="K44" s="36">
        <f t="shared" si="13"/>
        <v>786</v>
      </c>
      <c r="L44" s="36">
        <f>L26*L27/100</f>
        <v>0</v>
      </c>
      <c r="M44" s="36">
        <f t="shared" si="13"/>
        <v>0</v>
      </c>
      <c r="N44" s="36">
        <f t="shared" si="13"/>
        <v>0</v>
      </c>
      <c r="O44" s="36">
        <f t="shared" si="13"/>
        <v>0</v>
      </c>
      <c r="P44" s="36">
        <f t="shared" ref="P44:S44" si="14">P26*P27/100</f>
        <v>0</v>
      </c>
      <c r="Q44" s="36">
        <f t="shared" si="14"/>
        <v>0</v>
      </c>
      <c r="R44" s="36">
        <f t="shared" si="14"/>
        <v>0</v>
      </c>
      <c r="S44" s="36">
        <f t="shared" si="14"/>
        <v>0</v>
      </c>
    </row>
    <row r="45" spans="1:19" s="56" customFormat="1" ht="12.75" customHeight="1">
      <c r="A45" s="54"/>
      <c r="B45" s="55"/>
      <c r="C45" s="69"/>
      <c r="D45" s="69"/>
      <c r="E45" s="33"/>
      <c r="F45" s="33"/>
      <c r="G45" s="33"/>
      <c r="H45" s="33"/>
      <c r="I45" s="33"/>
      <c r="J45" s="33"/>
      <c r="K45" s="33"/>
      <c r="L45" s="33"/>
      <c r="M45" s="33"/>
      <c r="N45" s="33"/>
      <c r="O45" s="33"/>
      <c r="P45" s="33"/>
      <c r="Q45" s="33"/>
      <c r="R45" s="33"/>
      <c r="S45" s="33"/>
    </row>
    <row r="46" spans="1:19" s="56" customFormat="1" ht="12.75" customHeight="1">
      <c r="A46" s="54"/>
      <c r="B46" s="55"/>
      <c r="C46" s="69" t="s">
        <v>56</v>
      </c>
      <c r="D46" s="69"/>
      <c r="E46" s="33"/>
      <c r="F46" s="33"/>
      <c r="G46" s="33"/>
      <c r="H46" s="33"/>
      <c r="I46" s="33"/>
      <c r="J46" s="33"/>
      <c r="K46" s="33"/>
      <c r="L46" s="33"/>
      <c r="M46" s="33"/>
      <c r="N46" s="33"/>
      <c r="O46" s="33"/>
      <c r="P46" s="33"/>
      <c r="Q46" s="33"/>
      <c r="R46" s="33"/>
      <c r="S46" s="33"/>
    </row>
    <row r="47" spans="1:19" s="56" customFormat="1" ht="12.75" customHeight="1">
      <c r="A47" s="54"/>
      <c r="B47" s="55"/>
      <c r="C47" s="70" t="s">
        <v>57</v>
      </c>
      <c r="D47" s="71">
        <f>-F10</f>
        <v>-1680</v>
      </c>
      <c r="E47" s="36">
        <f t="shared" ref="E47:O47" si="15">E42+E44</f>
        <v>283.39999999999998</v>
      </c>
      <c r="F47" s="36">
        <f t="shared" si="15"/>
        <v>199.39999999999998</v>
      </c>
      <c r="G47" s="36">
        <f t="shared" si="15"/>
        <v>190.79999999999995</v>
      </c>
      <c r="H47" s="36">
        <f t="shared" si="15"/>
        <v>152.60000000000002</v>
      </c>
      <c r="I47" s="36">
        <f t="shared" si="15"/>
        <v>152.60000000000002</v>
      </c>
      <c r="J47" s="36">
        <f t="shared" si="15"/>
        <v>120.10000000000002</v>
      </c>
      <c r="K47" s="36">
        <f t="shared" si="15"/>
        <v>1026.95</v>
      </c>
      <c r="L47" s="36">
        <f t="shared" si="15"/>
        <v>0</v>
      </c>
      <c r="M47" s="36">
        <f t="shared" si="15"/>
        <v>0</v>
      </c>
      <c r="N47" s="36">
        <f t="shared" si="15"/>
        <v>0</v>
      </c>
      <c r="O47" s="36">
        <f t="shared" si="15"/>
        <v>0</v>
      </c>
      <c r="P47" s="36">
        <f t="shared" ref="P47:R47" si="16">P42+P44</f>
        <v>0</v>
      </c>
      <c r="Q47" s="36">
        <f t="shared" si="16"/>
        <v>0</v>
      </c>
      <c r="R47" s="36">
        <f t="shared" si="16"/>
        <v>0</v>
      </c>
      <c r="S47" s="36">
        <f>S42+S44</f>
        <v>0</v>
      </c>
    </row>
    <row r="48" spans="1:19" s="56" customFormat="1" ht="12.75" customHeight="1">
      <c r="A48" s="54"/>
      <c r="B48" s="55"/>
      <c r="C48" s="72" t="s">
        <v>58</v>
      </c>
      <c r="D48" s="71">
        <f>-F10</f>
        <v>-1680</v>
      </c>
      <c r="E48" s="36">
        <f>E42</f>
        <v>283.39999999999998</v>
      </c>
      <c r="F48" s="36">
        <f t="shared" ref="F48:O48" si="17">F42</f>
        <v>199.39999999999998</v>
      </c>
      <c r="G48" s="36">
        <f t="shared" si="17"/>
        <v>190.79999999999995</v>
      </c>
      <c r="H48" s="36">
        <f t="shared" si="17"/>
        <v>152.60000000000002</v>
      </c>
      <c r="I48" s="36">
        <f t="shared" si="17"/>
        <v>152.60000000000002</v>
      </c>
      <c r="J48" s="36">
        <f t="shared" si="17"/>
        <v>120.10000000000002</v>
      </c>
      <c r="K48" s="36">
        <f t="shared" si="17"/>
        <v>240.95000000000005</v>
      </c>
      <c r="L48" s="36">
        <f t="shared" si="17"/>
        <v>0</v>
      </c>
      <c r="M48" s="36">
        <f t="shared" si="17"/>
        <v>0</v>
      </c>
      <c r="N48" s="36">
        <f t="shared" si="17"/>
        <v>0</v>
      </c>
      <c r="O48" s="36">
        <f t="shared" si="17"/>
        <v>0</v>
      </c>
      <c r="P48" s="36">
        <f t="shared" ref="P48:R48" si="18">P42</f>
        <v>0</v>
      </c>
      <c r="Q48" s="36">
        <f t="shared" si="18"/>
        <v>0</v>
      </c>
      <c r="R48" s="36">
        <f t="shared" si="18"/>
        <v>0</v>
      </c>
      <c r="S48" s="36">
        <f>S42</f>
        <v>0</v>
      </c>
    </row>
    <row r="49" spans="1:19" s="56" customFormat="1" ht="12.75" customHeight="1">
      <c r="A49" s="54"/>
      <c r="B49" s="55"/>
      <c r="C49" s="69"/>
      <c r="D49" s="71"/>
      <c r="E49" s="36"/>
      <c r="F49" s="36"/>
      <c r="G49" s="36"/>
      <c r="H49" s="36"/>
      <c r="I49" s="36"/>
      <c r="J49" s="36"/>
      <c r="K49" s="36"/>
      <c r="L49" s="36"/>
      <c r="M49" s="36"/>
      <c r="N49" s="36"/>
      <c r="O49" s="36"/>
      <c r="P49" s="36"/>
      <c r="Q49" s="36"/>
      <c r="R49" s="36"/>
      <c r="S49" s="36"/>
    </row>
    <row r="50" spans="1:19" s="56" customFormat="1" ht="12.75" customHeight="1">
      <c r="A50" s="54"/>
      <c r="B50" s="55"/>
      <c r="C50" s="69" t="s">
        <v>32</v>
      </c>
      <c r="D50" s="71"/>
      <c r="E50" s="36"/>
      <c r="F50" s="36"/>
      <c r="G50" s="36"/>
      <c r="H50" s="36"/>
      <c r="I50" s="36"/>
      <c r="J50" s="36"/>
      <c r="K50" s="36"/>
      <c r="L50" s="36"/>
      <c r="M50" s="36"/>
      <c r="N50" s="36"/>
      <c r="O50" s="36"/>
      <c r="P50" s="36"/>
      <c r="Q50" s="36"/>
      <c r="R50" s="36"/>
      <c r="S50" s="36"/>
    </row>
    <row r="51" spans="1:19" s="56" customFormat="1" ht="12.75" customHeight="1">
      <c r="A51" s="54"/>
      <c r="B51" s="55"/>
      <c r="C51" s="73" t="s">
        <v>59</v>
      </c>
      <c r="D51" s="71"/>
      <c r="E51" s="36"/>
      <c r="F51" s="36"/>
      <c r="G51" s="36"/>
      <c r="H51" s="36"/>
      <c r="I51" s="36"/>
      <c r="J51" s="36"/>
      <c r="K51" s="36"/>
      <c r="L51" s="36"/>
      <c r="M51" s="36"/>
      <c r="N51" s="36"/>
      <c r="O51" s="36"/>
      <c r="P51" s="36"/>
      <c r="Q51" s="36"/>
      <c r="R51" s="36"/>
      <c r="S51" s="36"/>
    </row>
    <row r="52" spans="1:19" s="56" customFormat="1" ht="12.75" customHeight="1">
      <c r="A52" s="54"/>
      <c r="B52" s="55"/>
      <c r="C52" s="70" t="s">
        <v>57</v>
      </c>
      <c r="D52" s="74">
        <f>IF(OR(D47&lt;0,D47&gt;0),D47,0)</f>
        <v>-1680</v>
      </c>
      <c r="E52" s="37">
        <f>IF(OR(E47&lt;0,E47&gt;0),D52+E47,NA())</f>
        <v>-1396.6</v>
      </c>
      <c r="F52" s="36">
        <f t="shared" ref="E52:O52" si="19">IF(OR(F47&lt;0,F47&gt;0),E52+F47,NA())</f>
        <v>-1197.1999999999998</v>
      </c>
      <c r="G52" s="36">
        <f t="shared" si="19"/>
        <v>-1006.3999999999999</v>
      </c>
      <c r="H52" s="36">
        <f t="shared" si="19"/>
        <v>-853.79999999999984</v>
      </c>
      <c r="I52" s="36">
        <f t="shared" si="19"/>
        <v>-701.19999999999982</v>
      </c>
      <c r="J52" s="36">
        <f t="shared" si="19"/>
        <v>-581.0999999999998</v>
      </c>
      <c r="K52" s="36">
        <f t="shared" si="19"/>
        <v>445.85000000000025</v>
      </c>
      <c r="L52" s="36" t="e">
        <f t="shared" si="19"/>
        <v>#N/A</v>
      </c>
      <c r="M52" s="36" t="e">
        <f t="shared" si="19"/>
        <v>#N/A</v>
      </c>
      <c r="N52" s="36" t="e">
        <f t="shared" si="19"/>
        <v>#N/A</v>
      </c>
      <c r="O52" s="36" t="e">
        <f t="shared" si="19"/>
        <v>#N/A</v>
      </c>
      <c r="P52" s="36" t="e">
        <f t="shared" ref="P52" si="20">IF(OR(P47&lt;0,P47&gt;0),O52+P47,NA())</f>
        <v>#N/A</v>
      </c>
      <c r="Q52" s="36" t="e">
        <f t="shared" ref="Q52" si="21">IF(OR(Q47&lt;0,Q47&gt;0),P52+Q47,NA())</f>
        <v>#N/A</v>
      </c>
      <c r="R52" s="36" t="e">
        <f t="shared" ref="R52" si="22">IF(OR(R47&lt;0,R47&gt;0),Q52+R47,NA())</f>
        <v>#N/A</v>
      </c>
      <c r="S52" s="36" t="e">
        <f t="shared" ref="S52" si="23">IF(OR(S47&lt;0,S47&gt;0),R52+S47,NA())</f>
        <v>#N/A</v>
      </c>
    </row>
    <row r="53" spans="1:19" s="56" customFormat="1" ht="12.75" customHeight="1">
      <c r="A53" s="54"/>
      <c r="B53" s="55"/>
      <c r="C53" s="75" t="s">
        <v>58</v>
      </c>
      <c r="D53" s="74">
        <f>IF(OR(D47&lt;0,D47&gt;0),D47,0)</f>
        <v>-1680</v>
      </c>
      <c r="E53" s="37">
        <f t="shared" ref="E53:O53" si="24">IF(OR(E42&lt;0,E42&gt;0),D52+E42,NA())</f>
        <v>-1396.6</v>
      </c>
      <c r="F53" s="37">
        <f t="shared" si="24"/>
        <v>-1197.1999999999998</v>
      </c>
      <c r="G53" s="37">
        <f t="shared" si="24"/>
        <v>-1006.3999999999999</v>
      </c>
      <c r="H53" s="37">
        <f t="shared" si="24"/>
        <v>-853.79999999999984</v>
      </c>
      <c r="I53" s="37">
        <f t="shared" si="24"/>
        <v>-701.19999999999982</v>
      </c>
      <c r="J53" s="37">
        <f t="shared" si="24"/>
        <v>-581.0999999999998</v>
      </c>
      <c r="K53" s="37">
        <f t="shared" si="24"/>
        <v>-340.14999999999975</v>
      </c>
      <c r="L53" s="37" t="e">
        <f t="shared" si="24"/>
        <v>#N/A</v>
      </c>
      <c r="M53" s="37" t="e">
        <f t="shared" si="24"/>
        <v>#N/A</v>
      </c>
      <c r="N53" s="37" t="e">
        <f t="shared" si="24"/>
        <v>#N/A</v>
      </c>
      <c r="O53" s="37" t="e">
        <f t="shared" si="24"/>
        <v>#N/A</v>
      </c>
      <c r="P53" s="37" t="e">
        <f t="shared" ref="P53" si="25">IF(OR(P42&lt;0,P42&gt;0),O52+P42,NA())</f>
        <v>#N/A</v>
      </c>
      <c r="Q53" s="37" t="e">
        <f t="shared" ref="Q53" si="26">IF(OR(Q42&lt;0,Q42&gt;0),P52+Q42,NA())</f>
        <v>#N/A</v>
      </c>
      <c r="R53" s="37" t="e">
        <f t="shared" ref="R53" si="27">IF(OR(R42&lt;0,R42&gt;0),Q52+R42,NA())</f>
        <v>#N/A</v>
      </c>
      <c r="S53" s="37" t="e">
        <f t="shared" ref="S53" si="28">IF(OR(S42&lt;0,S42&gt;0),R52+S42,NA())</f>
        <v>#N/A</v>
      </c>
    </row>
    <row r="54" spans="1:19" s="56" customFormat="1" ht="12.75" customHeight="1">
      <c r="A54" s="54"/>
      <c r="B54" s="55"/>
      <c r="C54" s="62"/>
      <c r="D54" s="76"/>
      <c r="E54" s="29"/>
      <c r="F54" s="29"/>
      <c r="G54" s="29"/>
      <c r="H54" s="65"/>
      <c r="I54" s="65"/>
      <c r="J54" s="65"/>
      <c r="K54" s="65"/>
      <c r="L54" s="65"/>
      <c r="M54" s="65"/>
      <c r="N54" s="65"/>
      <c r="O54" s="65"/>
      <c r="P54" s="65"/>
      <c r="Q54" s="65"/>
      <c r="R54" s="65"/>
      <c r="S54" s="65"/>
    </row>
    <row r="55" spans="1:19" s="56" customFormat="1" ht="12.75" customHeight="1">
      <c r="A55" s="54"/>
      <c r="B55" s="55"/>
      <c r="C55" s="77" t="s">
        <v>34</v>
      </c>
      <c r="D55" s="78" t="s">
        <v>18</v>
      </c>
      <c r="E55" s="66">
        <f t="shared" ref="E55:S55" si="29">E15</f>
        <v>2016</v>
      </c>
      <c r="F55" s="66">
        <f t="shared" si="29"/>
        <v>2017</v>
      </c>
      <c r="G55" s="66">
        <f t="shared" si="29"/>
        <v>2018</v>
      </c>
      <c r="H55" s="66">
        <f t="shared" si="29"/>
        <v>2019</v>
      </c>
      <c r="I55" s="66">
        <f t="shared" si="29"/>
        <v>2020</v>
      </c>
      <c r="J55" s="66">
        <f t="shared" si="29"/>
        <v>2021</v>
      </c>
      <c r="K55" s="66">
        <f t="shared" si="29"/>
        <v>2022</v>
      </c>
      <c r="L55" s="66">
        <f t="shared" si="29"/>
        <v>2023</v>
      </c>
      <c r="M55" s="66">
        <f t="shared" si="29"/>
        <v>2024</v>
      </c>
      <c r="N55" s="66">
        <f t="shared" si="29"/>
        <v>2025</v>
      </c>
      <c r="O55" s="66">
        <f t="shared" si="29"/>
        <v>2026</v>
      </c>
      <c r="P55" s="66">
        <f t="shared" si="29"/>
        <v>2027</v>
      </c>
      <c r="Q55" s="66">
        <f t="shared" si="29"/>
        <v>2028</v>
      </c>
      <c r="R55" s="66">
        <f t="shared" si="29"/>
        <v>2029</v>
      </c>
      <c r="S55" s="66">
        <f t="shared" si="29"/>
        <v>2030</v>
      </c>
    </row>
    <row r="56" spans="1:19" s="56" customFormat="1" ht="12.75" customHeight="1">
      <c r="A56" s="54"/>
      <c r="B56" s="55"/>
      <c r="C56" s="77"/>
      <c r="D56" s="67" t="s">
        <v>70</v>
      </c>
      <c r="E56" s="68" t="s">
        <v>21</v>
      </c>
      <c r="F56" s="68" t="s">
        <v>22</v>
      </c>
      <c r="G56" s="68" t="s">
        <v>23</v>
      </c>
      <c r="H56" s="68" t="s">
        <v>24</v>
      </c>
      <c r="I56" s="68" t="s">
        <v>25</v>
      </c>
      <c r="J56" s="68" t="s">
        <v>26</v>
      </c>
      <c r="K56" s="68" t="s">
        <v>27</v>
      </c>
      <c r="L56" s="68" t="s">
        <v>28</v>
      </c>
      <c r="M56" s="68" t="s">
        <v>29</v>
      </c>
      <c r="N56" s="68" t="s">
        <v>30</v>
      </c>
      <c r="O56" s="68" t="s">
        <v>31</v>
      </c>
      <c r="P56" s="68" t="s">
        <v>63</v>
      </c>
      <c r="Q56" s="68" t="s">
        <v>64</v>
      </c>
      <c r="R56" s="68" t="s">
        <v>65</v>
      </c>
      <c r="S56" s="68" t="s">
        <v>66</v>
      </c>
    </row>
    <row r="57" spans="1:19" s="56" customFormat="1" ht="12.75" customHeight="1">
      <c r="A57" s="54"/>
      <c r="B57" s="55"/>
      <c r="C57" s="62" t="s">
        <v>19</v>
      </c>
      <c r="D57" s="68"/>
      <c r="E57" s="68"/>
      <c r="F57" s="68"/>
      <c r="G57" s="68"/>
      <c r="H57" s="68"/>
      <c r="I57" s="68"/>
      <c r="J57" s="68"/>
      <c r="K57" s="68"/>
      <c r="L57" s="68"/>
      <c r="M57" s="68"/>
      <c r="N57" s="68"/>
      <c r="O57" s="68"/>
      <c r="P57" s="68"/>
      <c r="Q57" s="68"/>
      <c r="R57" s="68"/>
      <c r="S57" s="68"/>
    </row>
    <row r="58" spans="1:19" s="56" customFormat="1" ht="12.75" customHeight="1">
      <c r="A58" s="54"/>
      <c r="B58" s="55"/>
      <c r="C58" s="73" t="s">
        <v>59</v>
      </c>
      <c r="D58" s="65"/>
      <c r="E58" s="65"/>
      <c r="F58" s="65"/>
      <c r="G58" s="65"/>
      <c r="H58" s="65"/>
      <c r="I58" s="65"/>
      <c r="J58" s="65"/>
      <c r="K58" s="65"/>
      <c r="L58" s="65"/>
      <c r="M58" s="65"/>
      <c r="N58" s="65"/>
      <c r="O58" s="65"/>
      <c r="P58" s="65"/>
      <c r="Q58" s="65"/>
      <c r="R58" s="65"/>
      <c r="S58" s="65"/>
    </row>
    <row r="59" spans="1:19" s="56" customFormat="1" ht="12.75" customHeight="1">
      <c r="A59" s="54"/>
      <c r="B59" s="55"/>
      <c r="C59" s="70" t="s">
        <v>57</v>
      </c>
      <c r="D59" s="79">
        <f>D47</f>
        <v>-1680</v>
      </c>
      <c r="E59" s="80">
        <f>E47/(1+$L$11)^1</f>
        <v>269.90476190476187</v>
      </c>
      <c r="F59" s="80">
        <f>F47/(1+$L$11)^2</f>
        <v>180.86167800453512</v>
      </c>
      <c r="G59" s="80">
        <f>G47/(1+$L$11)^3</f>
        <v>164.82021379980557</v>
      </c>
      <c r="H59" s="80">
        <f>H47/(1+$L$11)^4</f>
        <v>125.54439765324121</v>
      </c>
      <c r="I59" s="80">
        <f>I47/(1+$L$11)^5</f>
        <v>119.56609300308685</v>
      </c>
      <c r="J59" s="80">
        <f>J47/(1+$L$11)^6</f>
        <v>89.620469136059</v>
      </c>
      <c r="K59" s="80">
        <f>K47/(1+$L$11)^7</f>
        <v>729.83419197712828</v>
      </c>
      <c r="L59" s="80">
        <f>L47/(1+$L$11)^8</f>
        <v>0</v>
      </c>
      <c r="M59" s="80">
        <f>M47/(1+$L$11)^9</f>
        <v>0</v>
      </c>
      <c r="N59" s="80">
        <f>N47/(1+$L$11)^10</f>
        <v>0</v>
      </c>
      <c r="O59" s="80">
        <f>O47/(1+$L$11)^11</f>
        <v>0</v>
      </c>
      <c r="P59" s="80">
        <f>P47/(1+$L$11)^12</f>
        <v>0</v>
      </c>
      <c r="Q59" s="80">
        <f>Q47/(1+$L$11)^13</f>
        <v>0</v>
      </c>
      <c r="R59" s="80">
        <f>R47/(1+$L$11)^14</f>
        <v>0</v>
      </c>
      <c r="S59" s="80">
        <f>S47/(1+$L$11)^15</f>
        <v>0</v>
      </c>
    </row>
    <row r="60" spans="1:19" s="56" customFormat="1" ht="12.75" customHeight="1">
      <c r="A60" s="54"/>
      <c r="B60" s="55"/>
      <c r="C60" s="75" t="s">
        <v>58</v>
      </c>
      <c r="D60" s="79">
        <f>D47</f>
        <v>-1680</v>
      </c>
      <c r="E60" s="80">
        <f>E48/(1+$L$11)^1</f>
        <v>269.90476190476187</v>
      </c>
      <c r="F60" s="80">
        <f>F48/(1+$L$11)^2</f>
        <v>180.86167800453512</v>
      </c>
      <c r="G60" s="80">
        <f>G48/(1+$L$11)^3</f>
        <v>164.82021379980557</v>
      </c>
      <c r="H60" s="80">
        <f>H48/(1+$L$11)^4</f>
        <v>125.54439765324121</v>
      </c>
      <c r="I60" s="80">
        <f>I48/(1+$L$11)^5</f>
        <v>119.56609300308685</v>
      </c>
      <c r="J60" s="80">
        <f>J48/(1+$L$11)^6</f>
        <v>89.620469136059</v>
      </c>
      <c r="K60" s="80">
        <f>K48/(1+$L$11)^7</f>
        <v>171.23866649485279</v>
      </c>
      <c r="L60" s="80">
        <f>L48/(1+$L$11)^8</f>
        <v>0</v>
      </c>
      <c r="M60" s="80">
        <f>M48/(1+$L$11)^9</f>
        <v>0</v>
      </c>
      <c r="N60" s="80">
        <f>N48/(1+$L$11)^10</f>
        <v>0</v>
      </c>
      <c r="O60" s="80">
        <f>O48/(1+$L$11)^11</f>
        <v>0</v>
      </c>
      <c r="P60" s="80">
        <f>P48/(1+$L$11)^12</f>
        <v>0</v>
      </c>
      <c r="Q60" s="80">
        <f>Q48/(1+$L$11)^13</f>
        <v>0</v>
      </c>
      <c r="R60" s="80">
        <f>R48/(1+$L$11)^14</f>
        <v>0</v>
      </c>
      <c r="S60" s="80">
        <f>S48/(1+$L$11)^15</f>
        <v>0</v>
      </c>
    </row>
    <row r="61" spans="1:19" s="56" customFormat="1" ht="12.75" customHeight="1">
      <c r="A61" s="54"/>
      <c r="B61" s="55"/>
      <c r="C61" s="62"/>
      <c r="D61" s="79"/>
      <c r="E61" s="80"/>
      <c r="F61" s="80"/>
      <c r="G61" s="80"/>
      <c r="H61" s="80"/>
      <c r="I61" s="80"/>
      <c r="J61" s="80"/>
      <c r="K61" s="80"/>
      <c r="L61" s="80"/>
      <c r="M61" s="80"/>
      <c r="N61" s="80"/>
      <c r="O61" s="80"/>
      <c r="P61" s="80"/>
      <c r="Q61" s="80"/>
      <c r="R61" s="80"/>
      <c r="S61" s="80"/>
    </row>
    <row r="62" spans="1:19" s="56" customFormat="1" ht="12.75" customHeight="1">
      <c r="A62" s="54"/>
      <c r="B62" s="55"/>
      <c r="C62" s="73" t="s">
        <v>53</v>
      </c>
      <c r="D62" s="76"/>
      <c r="E62" s="29"/>
      <c r="F62" s="29"/>
      <c r="G62" s="29"/>
      <c r="H62" s="65"/>
      <c r="I62" s="65"/>
      <c r="J62" s="65"/>
      <c r="K62" s="65"/>
      <c r="L62" s="65"/>
      <c r="M62" s="65"/>
      <c r="N62" s="65"/>
      <c r="O62" s="65"/>
      <c r="P62" s="65"/>
      <c r="Q62" s="65"/>
      <c r="R62" s="65"/>
      <c r="S62" s="65"/>
    </row>
    <row r="63" spans="1:19" s="56" customFormat="1" ht="12.75" customHeight="1">
      <c r="A63" s="54"/>
      <c r="B63" s="55"/>
      <c r="C63" s="73" t="s">
        <v>60</v>
      </c>
      <c r="D63" s="76"/>
      <c r="E63" s="29"/>
      <c r="F63" s="29"/>
      <c r="G63" s="29"/>
      <c r="H63" s="65"/>
      <c r="I63" s="65"/>
      <c r="J63" s="65"/>
      <c r="K63" s="65"/>
      <c r="L63" s="65"/>
      <c r="M63" s="65"/>
      <c r="N63" s="65"/>
      <c r="O63" s="65"/>
      <c r="P63" s="65"/>
      <c r="Q63" s="65"/>
      <c r="R63" s="65"/>
      <c r="S63" s="65"/>
    </row>
    <row r="64" spans="1:19" s="56" customFormat="1" ht="12.75" customHeight="1">
      <c r="A64" s="54"/>
      <c r="B64" s="55"/>
      <c r="C64" s="70" t="s">
        <v>57</v>
      </c>
      <c r="D64" s="74">
        <f>IF(OR(D59&lt;0,D59&gt;0),D59,0)</f>
        <v>-1680</v>
      </c>
      <c r="E64" s="37">
        <f t="shared" ref="E64:O64" si="30">IF(OR(E59&lt;0,E59&gt;0),D64+E59,NA())</f>
        <v>-1410.0952380952381</v>
      </c>
      <c r="F64" s="36">
        <f t="shared" si="30"/>
        <v>-1229.2335600907029</v>
      </c>
      <c r="G64" s="36">
        <f t="shared" si="30"/>
        <v>-1064.4133462908974</v>
      </c>
      <c r="H64" s="36">
        <f t="shared" si="30"/>
        <v>-938.86894863765622</v>
      </c>
      <c r="I64" s="36">
        <f t="shared" si="30"/>
        <v>-819.30285563456937</v>
      </c>
      <c r="J64" s="36">
        <f t="shared" si="30"/>
        <v>-729.68238649851037</v>
      </c>
      <c r="K64" s="36">
        <f t="shared" si="30"/>
        <v>0.15180547861791638</v>
      </c>
      <c r="L64" s="36" t="e">
        <f t="shared" si="30"/>
        <v>#N/A</v>
      </c>
      <c r="M64" s="36" t="e">
        <f t="shared" si="30"/>
        <v>#N/A</v>
      </c>
      <c r="N64" s="36" t="e">
        <f t="shared" si="30"/>
        <v>#N/A</v>
      </c>
      <c r="O64" s="36" t="e">
        <f t="shared" si="30"/>
        <v>#N/A</v>
      </c>
      <c r="P64" s="36" t="e">
        <f t="shared" ref="P64:P65" si="31">IF(OR(P59&lt;0,P59&gt;0),O64+P59,NA())</f>
        <v>#N/A</v>
      </c>
      <c r="Q64" s="36" t="e">
        <f t="shared" ref="Q64:Q65" si="32">IF(OR(Q59&lt;0,Q59&gt;0),P64+Q59,NA())</f>
        <v>#N/A</v>
      </c>
      <c r="R64" s="36" t="e">
        <f t="shared" ref="R64:R65" si="33">IF(OR(R59&lt;0,R59&gt;0),Q64+R59,NA())</f>
        <v>#N/A</v>
      </c>
      <c r="S64" s="36" t="e">
        <f t="shared" ref="S64:S65" si="34">IF(OR(S59&lt;0,S59&gt;0),R64+S59,NA())</f>
        <v>#N/A</v>
      </c>
    </row>
    <row r="65" spans="1:19" s="56" customFormat="1" ht="12.75" customHeight="1">
      <c r="A65" s="54"/>
      <c r="B65" s="55"/>
      <c r="C65" s="75" t="s">
        <v>58</v>
      </c>
      <c r="D65" s="74">
        <f>IF(OR(D60&lt;0,D60&gt;0),D60,0)</f>
        <v>-1680</v>
      </c>
      <c r="E65" s="37">
        <f t="shared" ref="E65:O65" si="35">IF(OR(E60&lt;0,E60&gt;0),D65+E60,NA())</f>
        <v>-1410.0952380952381</v>
      </c>
      <c r="F65" s="37">
        <f t="shared" si="35"/>
        <v>-1229.2335600907029</v>
      </c>
      <c r="G65" s="37">
        <f t="shared" si="35"/>
        <v>-1064.4133462908974</v>
      </c>
      <c r="H65" s="37">
        <f t="shared" si="35"/>
        <v>-938.86894863765622</v>
      </c>
      <c r="I65" s="37">
        <f t="shared" si="35"/>
        <v>-819.30285563456937</v>
      </c>
      <c r="J65" s="37">
        <f t="shared" si="35"/>
        <v>-729.68238649851037</v>
      </c>
      <c r="K65" s="37">
        <f t="shared" si="35"/>
        <v>-558.44372000365752</v>
      </c>
      <c r="L65" s="37" t="e">
        <f t="shared" si="35"/>
        <v>#N/A</v>
      </c>
      <c r="M65" s="37" t="e">
        <f t="shared" si="35"/>
        <v>#N/A</v>
      </c>
      <c r="N65" s="37" t="e">
        <f t="shared" si="35"/>
        <v>#N/A</v>
      </c>
      <c r="O65" s="37" t="e">
        <f t="shared" si="35"/>
        <v>#N/A</v>
      </c>
      <c r="P65" s="37" t="e">
        <f t="shared" si="31"/>
        <v>#N/A</v>
      </c>
      <c r="Q65" s="37" t="e">
        <f t="shared" si="32"/>
        <v>#N/A</v>
      </c>
      <c r="R65" s="37" t="e">
        <f t="shared" si="33"/>
        <v>#N/A</v>
      </c>
      <c r="S65" s="37" t="e">
        <f t="shared" si="34"/>
        <v>#N/A</v>
      </c>
    </row>
    <row r="66" spans="1:19" s="56" customFormat="1" ht="12.75" customHeight="1">
      <c r="A66" s="54"/>
      <c r="B66" s="55"/>
      <c r="C66" s="62"/>
      <c r="D66" s="62"/>
      <c r="E66" s="8"/>
      <c r="F66" s="8"/>
      <c r="G66" s="8"/>
    </row>
    <row r="67" spans="1:19" s="56" customFormat="1" ht="12.75" customHeight="1">
      <c r="A67" s="54"/>
      <c r="B67" s="55"/>
      <c r="C67" s="77" t="s">
        <v>40</v>
      </c>
      <c r="D67" s="62"/>
      <c r="E67" s="8"/>
      <c r="F67" s="8"/>
      <c r="G67" s="8"/>
    </row>
    <row r="68" spans="1:19" s="56" customFormat="1" ht="12.75" customHeight="1">
      <c r="A68" s="54"/>
      <c r="B68" s="55"/>
      <c r="C68" s="77"/>
      <c r="D68" s="62"/>
      <c r="E68" s="8"/>
      <c r="F68" s="8"/>
      <c r="G68" s="8"/>
    </row>
    <row r="69" spans="1:19" s="83" customFormat="1" ht="12.75" customHeight="1">
      <c r="A69" s="81"/>
      <c r="B69" s="82"/>
      <c r="C69" s="83" t="s">
        <v>45</v>
      </c>
      <c r="I69" s="83" t="s">
        <v>46</v>
      </c>
    </row>
    <row r="70" spans="1:19" s="56" customFormat="1" ht="12.75" customHeight="1">
      <c r="A70" s="54"/>
      <c r="B70" s="55"/>
      <c r="H70" s="83"/>
    </row>
    <row r="71" spans="1:19" s="56" customFormat="1" ht="12.75" customHeight="1">
      <c r="A71" s="54"/>
      <c r="B71" s="55"/>
      <c r="C71" s="114" t="s">
        <v>41</v>
      </c>
      <c r="D71" s="114"/>
      <c r="E71" s="114"/>
      <c r="F71" s="114"/>
      <c r="G71" s="84">
        <f>SUM(E47:S47)/L10</f>
        <v>303.69285714285718</v>
      </c>
      <c r="H71" s="83"/>
      <c r="I71" s="114" t="s">
        <v>47</v>
      </c>
      <c r="J71" s="114"/>
      <c r="K71" s="114"/>
      <c r="L71" s="114"/>
      <c r="M71" s="114"/>
      <c r="N71" s="114"/>
      <c r="O71" s="85">
        <f>NPV(L11,E47:S47)+D47</f>
        <v>0.151805478617689</v>
      </c>
      <c r="R71" s="86"/>
    </row>
    <row r="72" spans="1:19" s="56" customFormat="1" ht="12.75" customHeight="1">
      <c r="A72" s="54"/>
      <c r="B72" s="55"/>
      <c r="C72" s="87"/>
      <c r="D72" s="87"/>
      <c r="E72" s="87"/>
      <c r="F72" s="87"/>
      <c r="G72" s="88"/>
      <c r="H72" s="83"/>
      <c r="I72" s="89"/>
      <c r="J72" s="90"/>
      <c r="K72" s="90"/>
      <c r="L72" s="26"/>
      <c r="M72" s="87"/>
      <c r="N72" s="91"/>
      <c r="O72" s="28"/>
    </row>
    <row r="73" spans="1:19" s="56" customFormat="1" ht="12.75" customHeight="1">
      <c r="A73" s="54"/>
      <c r="B73" s="55"/>
      <c r="C73" s="114" t="s">
        <v>42</v>
      </c>
      <c r="D73" s="114"/>
      <c r="E73" s="114"/>
      <c r="F73" s="114"/>
      <c r="G73" s="92">
        <f>IRR(D47:S47)</f>
        <v>5.0020248097027986E-2</v>
      </c>
      <c r="H73" s="83"/>
      <c r="I73" s="114" t="s">
        <v>68</v>
      </c>
      <c r="J73" s="114"/>
      <c r="K73" s="114"/>
      <c r="L73" s="114"/>
      <c r="M73" s="114"/>
      <c r="N73" s="114"/>
      <c r="O73" s="28">
        <f>O71+F10</f>
        <v>1680.1518054786177</v>
      </c>
    </row>
    <row r="74" spans="1:19" s="56" customFormat="1" ht="12.75" customHeight="1">
      <c r="A74" s="54"/>
      <c r="B74" s="55"/>
      <c r="C74" s="87"/>
      <c r="D74" s="87"/>
      <c r="E74" s="87"/>
      <c r="F74" s="87"/>
      <c r="G74" s="88"/>
      <c r="H74" s="83"/>
      <c r="I74" s="83"/>
      <c r="J74" s="83"/>
      <c r="K74" s="83"/>
      <c r="L74" s="83"/>
      <c r="M74" s="83"/>
    </row>
    <row r="75" spans="1:19" s="56" customFormat="1" ht="12.75" customHeight="1">
      <c r="A75" s="54"/>
      <c r="B75" s="55"/>
      <c r="C75" s="114" t="s">
        <v>43</v>
      </c>
      <c r="D75" s="114"/>
      <c r="E75" s="114"/>
      <c r="F75" s="114"/>
      <c r="G75" s="93">
        <f>IF(SUM($D$47:$E$47)&gt;0,1,IF(SUM($D$47:$F$47)&gt;0,2,IF(SUM($D$47:$G$47)&gt;0,3,IF(SUM($D$47:$H$47)&gt;0,4,IF(SUM($D$47:$I$47)&gt;0,5,IF(SUM($D$47:$J$47)&gt;0,6,IF(SUM($D$47:$K$47)&gt;0,7,IF(SUM($D$47:$L$47)&gt;0,8,IF(SUM($D$47:$M$47)&gt;0,9,IF(SUM($D$47:$N$47)&gt;0,10,IF(SUM($D$47:$O$47)&gt;0,11,IF(SUM($D$47:$P$47)&gt;0,12,IF(SUM($D$47:$Q$47)&gt;0,13,IF(SUM($D$47:$R$47)&gt;0,14,IF(SUM($D$47:$S$47)&gt;0,15,"&gt;15")))))))))))))))</f>
        <v>7</v>
      </c>
      <c r="H75" s="83"/>
      <c r="I75" s="83"/>
      <c r="J75" s="83"/>
      <c r="K75" s="83"/>
      <c r="L75" s="83"/>
      <c r="M75" s="83"/>
    </row>
    <row r="76" spans="1:19" s="56" customFormat="1" ht="12.75" customHeight="1">
      <c r="A76" s="54"/>
      <c r="B76" s="55"/>
      <c r="C76" s="87"/>
      <c r="D76" s="87"/>
      <c r="E76" s="87"/>
      <c r="F76" s="87"/>
      <c r="G76" s="88"/>
      <c r="H76" s="83"/>
      <c r="I76" s="83"/>
      <c r="J76" s="83"/>
      <c r="K76" s="83"/>
      <c r="L76" s="83"/>
      <c r="M76" s="83"/>
      <c r="R76" s="94"/>
    </row>
    <row r="77" spans="1:19" s="56" customFormat="1" ht="12.75" customHeight="1">
      <c r="A77" s="54"/>
      <c r="B77" s="55"/>
      <c r="C77" s="114" t="s">
        <v>44</v>
      </c>
      <c r="D77" s="114"/>
      <c r="E77" s="114"/>
      <c r="F77" s="114"/>
      <c r="G77" s="95">
        <f>IF(SUM($D$47:$E$47)&gt;0,E55,IF(SUM($D$47:$F$47)&gt;0,F55,IF(SUM($D$47:$G$47)&gt;0,G55,IF(SUM($D$47:$H$47)&gt;0,H55,IF(SUM($D$47:$I$47)&gt;0,I55,IF(SUM($D$47:$J$47)&gt;0,J55,IF(SUM($D$47:$K$47)&gt;0,K55,IF(SUM($D$47:$L$47)&gt;0,L55,IF(SUM($D$47:$M$47)&gt;0,M55,IF(SUM($D$47:$N$47)&gt;0,N55,IF(SUM($D$47:$O$47)&gt;0,O55,IF(SUM($D$47:$P$47)&gt;0,P55,IF(SUM($D$47:$Q$47)&gt;0,Q55,IF(SUM($D$47:$R$47)&gt;0,R55,IF(SUM($D$47:$S$47)&gt;0,S55,"&gt;"&amp;S55)))))))))))))))</f>
        <v>2022</v>
      </c>
      <c r="H77" s="83"/>
      <c r="I77" s="83"/>
      <c r="J77" s="83"/>
      <c r="K77" s="83"/>
      <c r="L77" s="83"/>
      <c r="M77" s="83"/>
      <c r="R77" s="69"/>
    </row>
    <row r="78" spans="1:19" s="56" customFormat="1" ht="12.75" customHeight="1">
      <c r="A78" s="54"/>
      <c r="B78" s="55"/>
      <c r="F78" s="8"/>
      <c r="G78" s="8"/>
      <c r="H78" s="83"/>
      <c r="I78" s="83"/>
      <c r="J78" s="83"/>
      <c r="K78" s="83"/>
      <c r="L78" s="83"/>
      <c r="M78" s="83"/>
    </row>
    <row r="79" spans="1:19" s="56" customFormat="1" ht="12.75" customHeight="1">
      <c r="A79" s="54"/>
      <c r="B79" s="55"/>
      <c r="H79" s="83"/>
      <c r="I79" s="83"/>
      <c r="J79" s="83"/>
      <c r="K79" s="83"/>
      <c r="L79" s="83"/>
      <c r="M79" s="83"/>
    </row>
    <row r="80" spans="1:19" s="56" customFormat="1" ht="12.75" customHeight="1">
      <c r="A80" s="54"/>
      <c r="B80" s="55"/>
      <c r="H80" s="83"/>
      <c r="I80" s="83"/>
      <c r="J80" s="83"/>
      <c r="K80" s="83"/>
      <c r="L80" s="83"/>
      <c r="M80" s="83"/>
    </row>
    <row r="81" spans="1:13" s="56" customFormat="1" ht="12.75" customHeight="1">
      <c r="A81" s="54"/>
      <c r="B81" s="55"/>
      <c r="H81" s="83"/>
      <c r="I81" s="83"/>
      <c r="J81" s="83"/>
      <c r="K81" s="83"/>
      <c r="L81" s="83"/>
      <c r="M81" s="83"/>
    </row>
    <row r="82" spans="1:13" s="56" customFormat="1" ht="12.75" customHeight="1">
      <c r="A82" s="54"/>
      <c r="B82" s="55"/>
      <c r="H82" s="83"/>
      <c r="I82" s="83"/>
      <c r="J82" s="83"/>
      <c r="K82" s="83"/>
      <c r="L82" s="83"/>
      <c r="M82" s="83"/>
    </row>
    <row r="83" spans="1:13" s="56" customFormat="1" ht="12.75" customHeight="1">
      <c r="A83" s="54"/>
      <c r="B83" s="55"/>
      <c r="H83" s="83"/>
      <c r="I83" s="83"/>
      <c r="J83" s="83"/>
      <c r="K83" s="83"/>
      <c r="L83" s="83"/>
      <c r="M83" s="83"/>
    </row>
    <row r="84" spans="1:13" s="56" customFormat="1" ht="12.75" customHeight="1">
      <c r="A84" s="54"/>
      <c r="B84" s="55"/>
      <c r="H84" s="83"/>
      <c r="I84" s="83"/>
      <c r="J84" s="83"/>
      <c r="K84" s="83"/>
      <c r="L84" s="83"/>
      <c r="M84" s="83"/>
    </row>
    <row r="85" spans="1:13" s="56" customFormat="1" ht="12.75" customHeight="1">
      <c r="A85" s="54"/>
      <c r="B85" s="55"/>
      <c r="H85" s="83"/>
      <c r="I85" s="83"/>
      <c r="J85" s="83"/>
      <c r="K85" s="83"/>
      <c r="L85" s="83"/>
      <c r="M85" s="83"/>
    </row>
    <row r="86" spans="1:13" s="56" customFormat="1" ht="12.75" customHeight="1">
      <c r="A86" s="54"/>
      <c r="B86" s="55"/>
      <c r="H86" s="83"/>
      <c r="I86" s="83"/>
      <c r="J86" s="83"/>
      <c r="K86" s="83"/>
      <c r="L86" s="83"/>
      <c r="M86" s="83"/>
    </row>
    <row r="87" spans="1:13" s="56" customFormat="1" ht="12.75" customHeight="1">
      <c r="A87" s="54"/>
      <c r="B87" s="55"/>
      <c r="H87" s="83"/>
      <c r="I87" s="83"/>
      <c r="J87" s="83"/>
      <c r="K87" s="83"/>
      <c r="L87" s="83"/>
      <c r="M87" s="83"/>
    </row>
    <row r="88" spans="1:13" s="56" customFormat="1" ht="12.75" customHeight="1">
      <c r="A88" s="54"/>
      <c r="B88" s="55"/>
      <c r="H88" s="83"/>
      <c r="I88" s="83"/>
      <c r="J88" s="83"/>
      <c r="K88" s="83"/>
      <c r="L88" s="83"/>
      <c r="M88" s="83"/>
    </row>
    <row r="89" spans="1:13" s="56" customFormat="1" ht="12.75" customHeight="1">
      <c r="A89" s="54"/>
      <c r="B89" s="55"/>
      <c r="H89" s="83"/>
      <c r="I89" s="83"/>
      <c r="J89" s="83"/>
      <c r="K89" s="83"/>
      <c r="L89" s="83"/>
      <c r="M89" s="83"/>
    </row>
    <row r="90" spans="1:13" s="56" customFormat="1" ht="12.75" customHeight="1">
      <c r="A90" s="54"/>
      <c r="B90" s="55"/>
      <c r="H90" s="83"/>
      <c r="I90" s="83"/>
      <c r="J90" s="83"/>
      <c r="K90" s="83"/>
      <c r="L90" s="83"/>
      <c r="M90" s="83"/>
    </row>
    <row r="91" spans="1:13" s="56" customFormat="1" ht="12.75" customHeight="1">
      <c r="A91" s="54"/>
      <c r="B91" s="55"/>
      <c r="H91" s="83"/>
      <c r="I91" s="83"/>
      <c r="J91" s="83"/>
      <c r="K91" s="83"/>
      <c r="L91" s="83"/>
      <c r="M91" s="83"/>
    </row>
    <row r="92" spans="1:13" s="94" customFormat="1" ht="12.75" customHeight="1">
      <c r="A92" s="96"/>
      <c r="B92" s="97"/>
    </row>
    <row r="93" spans="1:13" s="94" customFormat="1" ht="12.75" customHeight="1">
      <c r="A93" s="96"/>
      <c r="B93" s="97"/>
    </row>
    <row r="94" spans="1:13" s="94" customFormat="1" ht="12.75" customHeight="1">
      <c r="A94" s="96"/>
      <c r="B94" s="97"/>
    </row>
    <row r="95" spans="1:13" s="94" customFormat="1" ht="12.75" customHeight="1">
      <c r="A95" s="96"/>
      <c r="B95" s="97"/>
      <c r="F95" s="6"/>
      <c r="G95" s="7"/>
    </row>
    <row r="96" spans="1:13" s="94" customFormat="1" ht="12.75" customHeight="1">
      <c r="A96" s="96"/>
      <c r="B96" s="97"/>
      <c r="F96" s="41"/>
      <c r="G96" s="41"/>
    </row>
    <row r="97" spans="1:13" s="94" customFormat="1" ht="12.75" customHeight="1">
      <c r="A97" s="96"/>
      <c r="B97" s="97"/>
      <c r="F97" s="41"/>
      <c r="G97" s="41"/>
    </row>
    <row r="98" spans="1:13" s="94" customFormat="1" ht="12.75" customHeight="1">
      <c r="A98" s="96"/>
      <c r="B98" s="97"/>
      <c r="F98" s="41"/>
      <c r="G98" s="41"/>
    </row>
    <row r="99" spans="1:13" s="94" customFormat="1" ht="12.75" customHeight="1">
      <c r="A99" s="96"/>
      <c r="B99" s="97"/>
      <c r="F99" s="1"/>
      <c r="G99" s="1"/>
    </row>
    <row r="100" spans="1:13" s="94" customFormat="1" ht="12.75" customHeight="1">
      <c r="A100" s="96"/>
      <c r="B100" s="97"/>
      <c r="F100" s="1"/>
      <c r="G100" s="1"/>
    </row>
    <row r="101" spans="1:13" s="94" customFormat="1" ht="12.75" customHeight="1">
      <c r="A101" s="96"/>
      <c r="B101" s="97"/>
      <c r="F101" s="1"/>
      <c r="G101" s="1"/>
    </row>
    <row r="102" spans="1:13" s="53" customFormat="1" ht="12.75" customHeight="1">
      <c r="A102" s="51"/>
      <c r="B102" s="52"/>
      <c r="C102" s="98"/>
      <c r="D102" s="98"/>
      <c r="E102" s="98"/>
      <c r="F102" s="1"/>
      <c r="G102" s="1"/>
      <c r="H102" s="94"/>
      <c r="I102" s="99"/>
      <c r="J102" s="99"/>
      <c r="K102" s="99"/>
      <c r="L102" s="99"/>
      <c r="M102" s="99"/>
    </row>
    <row r="103" spans="1:13" ht="12.75" customHeight="1">
      <c r="H103" s="99"/>
      <c r="I103" s="102"/>
      <c r="J103" s="94"/>
      <c r="K103" s="94"/>
      <c r="L103" s="103"/>
      <c r="M103" s="99"/>
    </row>
    <row r="104" spans="1:13" ht="12.75" customHeight="1">
      <c r="H104" s="99"/>
      <c r="I104" s="102"/>
      <c r="J104" s="94"/>
      <c r="K104" s="94"/>
      <c r="L104" s="103"/>
      <c r="M104" s="99"/>
    </row>
    <row r="105" spans="1:13" s="94" customFormat="1" ht="12.75" customHeight="1">
      <c r="A105" s="96"/>
      <c r="B105" s="104"/>
      <c r="C105" s="10" t="s">
        <v>62</v>
      </c>
      <c r="D105" s="10"/>
      <c r="E105" s="10"/>
      <c r="F105" s="11"/>
      <c r="G105" s="11"/>
      <c r="H105" s="18"/>
      <c r="I105" s="99"/>
      <c r="J105" s="99"/>
      <c r="K105" s="99"/>
      <c r="L105" s="99"/>
    </row>
    <row r="106" spans="1:13" s="94" customFormat="1" ht="12.75" customHeight="1">
      <c r="A106" s="96"/>
      <c r="B106" s="104"/>
      <c r="C106" s="27" t="s">
        <v>35</v>
      </c>
      <c r="D106" s="19"/>
      <c r="E106" s="4"/>
      <c r="F106" s="3"/>
      <c r="G106" s="3"/>
      <c r="H106" s="3"/>
      <c r="I106" s="99"/>
      <c r="J106" s="99"/>
      <c r="K106" s="99"/>
      <c r="L106" s="99"/>
    </row>
    <row r="107" spans="1:13" s="94" customFormat="1" ht="12.75" customHeight="1">
      <c r="A107" s="96"/>
      <c r="B107" s="104"/>
      <c r="C107" s="20" t="s">
        <v>36</v>
      </c>
      <c r="D107" s="20"/>
      <c r="E107" s="20"/>
      <c r="F107" s="3"/>
      <c r="G107" s="3"/>
      <c r="H107" s="3"/>
      <c r="I107" s="99"/>
      <c r="J107" s="99"/>
      <c r="K107" s="99"/>
      <c r="L107" s="99"/>
    </row>
    <row r="108" spans="1:13" s="94" customFormat="1" ht="12.75" customHeight="1">
      <c r="A108" s="96"/>
      <c r="B108" s="104"/>
      <c r="C108" s="5">
        <f ca="1">NOW()</f>
        <v>42773.644582986111</v>
      </c>
      <c r="D108" s="5"/>
      <c r="E108" s="5"/>
      <c r="F108" s="3"/>
      <c r="G108" s="3"/>
      <c r="H108" s="3"/>
      <c r="I108" s="99"/>
      <c r="J108" s="99"/>
      <c r="K108" s="99"/>
      <c r="L108" s="99"/>
    </row>
    <row r="109" spans="1:13" s="94" customFormat="1" ht="12.75" customHeight="1">
      <c r="A109" s="96"/>
      <c r="B109" s="104"/>
      <c r="C109" s="5"/>
      <c r="D109" s="5"/>
      <c r="E109" s="5"/>
      <c r="F109" s="3"/>
      <c r="G109" s="3"/>
      <c r="H109" s="3"/>
      <c r="I109" s="99"/>
      <c r="J109" s="99"/>
      <c r="K109" s="99"/>
      <c r="L109" s="99"/>
    </row>
    <row r="110" spans="1:13" s="94" customFormat="1" ht="12.75" customHeight="1">
      <c r="A110" s="96"/>
      <c r="B110" s="104"/>
      <c r="C110" s="6" t="s">
        <v>37</v>
      </c>
      <c r="D110" s="6"/>
      <c r="E110" s="6"/>
      <c r="F110" s="7"/>
      <c r="G110" s="7"/>
      <c r="H110" s="7"/>
      <c r="I110" s="99"/>
      <c r="J110" s="99"/>
      <c r="K110" s="99"/>
      <c r="L110" s="99"/>
    </row>
    <row r="111" spans="1:13" s="94" customFormat="1" ht="12.75" customHeight="1">
      <c r="A111" s="96"/>
      <c r="B111" s="104"/>
      <c r="C111" s="109" t="s">
        <v>69</v>
      </c>
      <c r="D111" s="109"/>
      <c r="E111" s="109"/>
      <c r="F111" s="109"/>
      <c r="G111" s="109"/>
      <c r="H111" s="109"/>
      <c r="I111" s="109"/>
      <c r="J111" s="109"/>
      <c r="K111" s="109"/>
      <c r="L111" s="109"/>
    </row>
    <row r="112" spans="1:13" s="94" customFormat="1" ht="12.75" customHeight="1">
      <c r="A112" s="96"/>
      <c r="B112" s="104"/>
      <c r="C112" s="109"/>
      <c r="D112" s="109"/>
      <c r="E112" s="109"/>
      <c r="F112" s="109"/>
      <c r="G112" s="109"/>
      <c r="H112" s="109"/>
      <c r="I112" s="109"/>
      <c r="J112" s="109"/>
      <c r="K112" s="109"/>
      <c r="L112" s="109"/>
    </row>
    <row r="113" spans="1:12" s="94" customFormat="1" ht="18" customHeight="1">
      <c r="A113" s="96"/>
      <c r="B113" s="104"/>
      <c r="C113" s="109"/>
      <c r="D113" s="109"/>
      <c r="E113" s="109"/>
      <c r="F113" s="109"/>
      <c r="G113" s="109"/>
      <c r="H113" s="109"/>
      <c r="I113" s="109"/>
      <c r="J113" s="109"/>
      <c r="K113" s="109"/>
      <c r="L113" s="109"/>
    </row>
  </sheetData>
  <sheetProtection sheet="1" objects="1" scenarios="1"/>
  <mergeCells count="10">
    <mergeCell ref="C111:L112"/>
    <mergeCell ref="C113:L113"/>
    <mergeCell ref="C6:F6"/>
    <mergeCell ref="C5:F5"/>
    <mergeCell ref="C71:F71"/>
    <mergeCell ref="C73:F73"/>
    <mergeCell ref="C75:F75"/>
    <mergeCell ref="C77:F77"/>
    <mergeCell ref="I71:N71"/>
    <mergeCell ref="I73:N73"/>
  </mergeCells>
  <conditionalFormatting sqref="E18:E30 E32:E34">
    <cfRule type="expression" dxfId="29" priority="3">
      <formula>$E$16="No"</formula>
    </cfRule>
  </conditionalFormatting>
  <conditionalFormatting sqref="F18:F34">
    <cfRule type="expression" dxfId="28" priority="2">
      <formula>$F$16="No"</formula>
    </cfRule>
  </conditionalFormatting>
  <conditionalFormatting sqref="G18:G34">
    <cfRule type="expression" dxfId="27" priority="15">
      <formula>$G$16="No"</formula>
    </cfRule>
  </conditionalFormatting>
  <conditionalFormatting sqref="H18:H34">
    <cfRule type="expression" dxfId="26" priority="14">
      <formula>$H$16="No"</formula>
    </cfRule>
  </conditionalFormatting>
  <conditionalFormatting sqref="I18:I34">
    <cfRule type="expression" dxfId="25" priority="13">
      <formula>$I$16="No"</formula>
    </cfRule>
  </conditionalFormatting>
  <conditionalFormatting sqref="J18:J34">
    <cfRule type="expression" dxfId="24" priority="12">
      <formula>$J$16="No"</formula>
    </cfRule>
  </conditionalFormatting>
  <conditionalFormatting sqref="K18:K34">
    <cfRule type="expression" dxfId="23" priority="11">
      <formula>$K$16="No"</formula>
    </cfRule>
  </conditionalFormatting>
  <conditionalFormatting sqref="L18:L34">
    <cfRule type="expression" dxfId="22" priority="10">
      <formula>$L$16="No"</formula>
    </cfRule>
  </conditionalFormatting>
  <conditionalFormatting sqref="M18:M34">
    <cfRule type="expression" dxfId="21" priority="9">
      <formula>$M$16="No"</formula>
    </cfRule>
  </conditionalFormatting>
  <conditionalFormatting sqref="N18:N34">
    <cfRule type="expression" dxfId="20" priority="7">
      <formula>$N$16="No"</formula>
    </cfRule>
  </conditionalFormatting>
  <conditionalFormatting sqref="O18:O34">
    <cfRule type="expression" dxfId="19" priority="6">
      <formula>$O$16="No"</formula>
    </cfRule>
  </conditionalFormatting>
  <conditionalFormatting sqref="P18:P34">
    <cfRule type="expression" dxfId="18" priority="5">
      <formula>$P$16="No"</formula>
    </cfRule>
  </conditionalFormatting>
  <conditionalFormatting sqref="Q18:Q34">
    <cfRule type="expression" dxfId="17" priority="4">
      <formula>$Q$16="No"</formula>
    </cfRule>
  </conditionalFormatting>
  <conditionalFormatting sqref="R18:R34">
    <cfRule type="expression" dxfId="16" priority="16">
      <formula>$R$16="No"</formula>
    </cfRule>
  </conditionalFormatting>
  <conditionalFormatting sqref="S18:S34">
    <cfRule type="expression" dxfId="15" priority="17">
      <formula>$S$16="No"</formula>
    </cfRule>
  </conditionalFormatting>
  <hyperlinks>
    <hyperlink ref="C106" r:id="rId1"/>
    <hyperlink ref="C3" r:id="rId2"/>
  </hyperlinks>
  <pageMargins left="0.7" right="0.7" top="0.75" bottom="0.75" header="0.3" footer="0.3"/>
  <pageSetup scale="68" fitToHeight="2" orientation="landscape" r:id="rId3"/>
  <headerFooter>
    <oddHeader>&amp;LIowa State University Extension and Outreach&amp;RAg Decision Maker File B1-74</oddHeader>
    <oddFooter>&amp;Lhttp://www.extension.iastate.edu/agdm/livestock/xls/b1-74netpresentvalueofbeefreplacementfemales.xlsx</oddFooter>
  </headerFooter>
  <rowBreaks count="1" manualBreakCount="1">
    <brk id="66" min="2" max="18"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S113"/>
  <sheetViews>
    <sheetView showGridLines="0" zoomScaleNormal="100" workbookViewId="0"/>
  </sheetViews>
  <sheetFormatPr defaultColWidth="9.109375" defaultRowHeight="13.8"/>
  <cols>
    <col min="1" max="1" width="1.6640625" style="100" customWidth="1"/>
    <col min="2" max="2" width="1.6640625" style="101" customWidth="1"/>
    <col min="3" max="3" width="25.109375" style="98" customWidth="1"/>
    <col min="4" max="11" width="9.109375" style="98" customWidth="1"/>
    <col min="12" max="12" width="9.109375" style="98"/>
    <col min="13" max="13" width="9.6640625" style="98" customWidth="1"/>
    <col min="14" max="16384" width="9.109375" style="98"/>
  </cols>
  <sheetData>
    <row r="1" spans="1:19" s="43" customFormat="1" ht="18" thickBot="1">
      <c r="C1" s="43" t="s">
        <v>38</v>
      </c>
    </row>
    <row r="2" spans="1:19" s="48" customFormat="1" ht="14.4" thickTop="1">
      <c r="A2" s="44"/>
      <c r="B2" s="45"/>
      <c r="C2" s="46" t="s">
        <v>0</v>
      </c>
      <c r="D2" s="46"/>
      <c r="E2" s="46"/>
      <c r="F2" s="47"/>
    </row>
    <row r="3" spans="1:19" s="48" customFormat="1" ht="13.2">
      <c r="A3" s="44"/>
      <c r="B3" s="45"/>
      <c r="C3" s="49" t="s">
        <v>54</v>
      </c>
      <c r="F3" s="47"/>
    </row>
    <row r="4" spans="1:19" s="48" customFormat="1" ht="12.75" customHeight="1">
      <c r="A4" s="44"/>
      <c r="B4" s="45"/>
      <c r="C4" s="50"/>
      <c r="D4" s="50"/>
    </row>
    <row r="5" spans="1:19" s="53" customFormat="1" ht="12.75" customHeight="1">
      <c r="A5" s="51"/>
      <c r="B5" s="52"/>
      <c r="C5" s="113" t="s">
        <v>1</v>
      </c>
      <c r="D5" s="113"/>
      <c r="E5" s="113"/>
      <c r="F5" s="113"/>
      <c r="G5" s="9"/>
    </row>
    <row r="6" spans="1:19" s="53" customFormat="1" ht="12.75" customHeight="1">
      <c r="A6" s="51"/>
      <c r="B6" s="52"/>
      <c r="C6" s="110" t="s">
        <v>52</v>
      </c>
      <c r="D6" s="111"/>
      <c r="E6" s="111"/>
      <c r="F6" s="112"/>
      <c r="G6" s="2"/>
    </row>
    <row r="7" spans="1:19" s="53" customFormat="1" ht="12.75" customHeight="1">
      <c r="A7" s="51"/>
      <c r="B7" s="52"/>
      <c r="C7" s="38" t="s">
        <v>67</v>
      </c>
      <c r="D7" s="39"/>
      <c r="E7" s="39"/>
      <c r="F7" s="40"/>
      <c r="G7" s="2"/>
    </row>
    <row r="8" spans="1:19" s="56" customFormat="1" ht="12.75" customHeight="1">
      <c r="A8" s="54"/>
      <c r="B8" s="55"/>
      <c r="C8" s="8"/>
      <c r="D8" s="8"/>
      <c r="E8" s="8"/>
      <c r="F8" s="8"/>
      <c r="G8" s="8"/>
    </row>
    <row r="9" spans="1:19" s="56" customFormat="1" ht="12.75" customHeight="1">
      <c r="A9" s="54"/>
      <c r="B9" s="55"/>
      <c r="C9" s="12" t="s">
        <v>15</v>
      </c>
      <c r="D9" s="12"/>
      <c r="E9" s="8"/>
      <c r="F9" s="8"/>
      <c r="G9" s="8"/>
    </row>
    <row r="10" spans="1:19" s="56" customFormat="1" ht="12.75" customHeight="1">
      <c r="A10" s="54"/>
      <c r="B10" s="55"/>
      <c r="C10" s="13" t="s">
        <v>39</v>
      </c>
      <c r="D10" s="13"/>
      <c r="F10" s="24"/>
      <c r="H10" s="15" t="s">
        <v>4</v>
      </c>
      <c r="I10" s="15"/>
      <c r="J10" s="15"/>
      <c r="K10" s="13"/>
      <c r="L10" s="23"/>
    </row>
    <row r="11" spans="1:19" s="56" customFormat="1" ht="12.75" customHeight="1">
      <c r="A11" s="54"/>
      <c r="B11" s="55"/>
      <c r="C11" s="15" t="s">
        <v>2</v>
      </c>
      <c r="D11" s="15"/>
      <c r="E11" s="15"/>
      <c r="F11" s="22"/>
      <c r="H11" s="8" t="s">
        <v>20</v>
      </c>
      <c r="I11" s="8"/>
      <c r="J11" s="8"/>
      <c r="K11" s="8"/>
      <c r="L11" s="25"/>
    </row>
    <row r="12" spans="1:19" s="56" customFormat="1" ht="12.75" customHeight="1">
      <c r="A12" s="54"/>
      <c r="B12" s="55"/>
      <c r="C12" s="15" t="s">
        <v>3</v>
      </c>
      <c r="D12" s="15"/>
      <c r="E12" s="15"/>
      <c r="F12" s="22"/>
    </row>
    <row r="13" spans="1:19" s="56" customFormat="1" ht="12.75" customHeight="1">
      <c r="A13" s="54"/>
      <c r="B13" s="55"/>
      <c r="D13" s="15"/>
      <c r="E13" s="15"/>
      <c r="H13" s="8"/>
      <c r="I13" s="8"/>
      <c r="J13" s="8"/>
      <c r="K13" s="8"/>
      <c r="L13" s="21"/>
    </row>
    <row r="14" spans="1:19" s="56" customFormat="1" ht="12.75" customHeight="1">
      <c r="A14" s="54"/>
      <c r="B14" s="55"/>
      <c r="C14" s="57" t="s">
        <v>16</v>
      </c>
      <c r="D14" s="57"/>
      <c r="I14" s="58"/>
      <c r="J14" s="16"/>
      <c r="K14" s="17"/>
      <c r="L14" s="16"/>
      <c r="M14" s="17"/>
      <c r="N14" s="16"/>
      <c r="O14" s="17"/>
    </row>
    <row r="15" spans="1:19" s="56" customFormat="1" ht="12.75" customHeight="1">
      <c r="A15" s="54"/>
      <c r="B15" s="55"/>
      <c r="C15" s="106" t="s">
        <v>5</v>
      </c>
      <c r="D15" s="106"/>
      <c r="E15" s="107">
        <f>F11</f>
        <v>0</v>
      </c>
      <c r="F15" s="108">
        <f>+E15+1</f>
        <v>1</v>
      </c>
      <c r="G15" s="108">
        <f t="shared" ref="G15:S15" si="0">+F15+1</f>
        <v>2</v>
      </c>
      <c r="H15" s="108">
        <f t="shared" si="0"/>
        <v>3</v>
      </c>
      <c r="I15" s="108">
        <f t="shared" si="0"/>
        <v>4</v>
      </c>
      <c r="J15" s="108">
        <f t="shared" si="0"/>
        <v>5</v>
      </c>
      <c r="K15" s="108">
        <f t="shared" si="0"/>
        <v>6</v>
      </c>
      <c r="L15" s="108">
        <f t="shared" si="0"/>
        <v>7</v>
      </c>
      <c r="M15" s="108">
        <f t="shared" si="0"/>
        <v>8</v>
      </c>
      <c r="N15" s="108">
        <f t="shared" si="0"/>
        <v>9</v>
      </c>
      <c r="O15" s="108">
        <f t="shared" si="0"/>
        <v>10</v>
      </c>
      <c r="P15" s="108">
        <f t="shared" si="0"/>
        <v>11</v>
      </c>
      <c r="Q15" s="108">
        <f t="shared" si="0"/>
        <v>12</v>
      </c>
      <c r="R15" s="108">
        <f t="shared" si="0"/>
        <v>13</v>
      </c>
      <c r="S15" s="108">
        <f t="shared" si="0"/>
        <v>14</v>
      </c>
    </row>
    <row r="16" spans="1:19" s="56" customFormat="1" ht="12.75" customHeight="1">
      <c r="A16" s="54"/>
      <c r="B16" s="55"/>
      <c r="C16" s="60" t="s">
        <v>61</v>
      </c>
      <c r="E16" s="58" t="str">
        <f>IF(AND(E15&gt;=$F$12,E15&lt;=$F$12+$L$10-1),"Yes","No")</f>
        <v>No</v>
      </c>
      <c r="F16" s="58" t="str">
        <f t="shared" ref="F16:S16" si="1">IF(AND(F15&gt;=$F$12,F15&lt;=$F$12+$L$10-1),"Yes","No")</f>
        <v>No</v>
      </c>
      <c r="G16" s="58" t="str">
        <f t="shared" si="1"/>
        <v>No</v>
      </c>
      <c r="H16" s="58" t="str">
        <f t="shared" si="1"/>
        <v>No</v>
      </c>
      <c r="I16" s="58" t="str">
        <f t="shared" si="1"/>
        <v>No</v>
      </c>
      <c r="J16" s="58" t="str">
        <f t="shared" si="1"/>
        <v>No</v>
      </c>
      <c r="K16" s="58" t="str">
        <f t="shared" si="1"/>
        <v>No</v>
      </c>
      <c r="L16" s="58" t="str">
        <f t="shared" si="1"/>
        <v>No</v>
      </c>
      <c r="M16" s="58" t="str">
        <f t="shared" si="1"/>
        <v>No</v>
      </c>
      <c r="N16" s="58" t="str">
        <f t="shared" si="1"/>
        <v>No</v>
      </c>
      <c r="O16" s="58" t="str">
        <f t="shared" si="1"/>
        <v>No</v>
      </c>
      <c r="P16" s="58" t="str">
        <f t="shared" si="1"/>
        <v>No</v>
      </c>
      <c r="Q16" s="58" t="str">
        <f t="shared" si="1"/>
        <v>No</v>
      </c>
      <c r="R16" s="58" t="str">
        <f t="shared" si="1"/>
        <v>No</v>
      </c>
      <c r="S16" s="58" t="str">
        <f t="shared" si="1"/>
        <v>No</v>
      </c>
    </row>
    <row r="17" spans="1:19" s="56" customFormat="1" ht="12.75" customHeight="1">
      <c r="A17" s="54"/>
      <c r="B17" s="55"/>
      <c r="C17" s="61"/>
      <c r="D17" s="61"/>
      <c r="E17" s="14"/>
      <c r="F17" s="14"/>
      <c r="G17" s="14"/>
      <c r="H17" s="14"/>
      <c r="I17" s="14"/>
      <c r="J17" s="14"/>
      <c r="K17" s="14"/>
      <c r="L17" s="14"/>
      <c r="M17" s="14"/>
      <c r="N17" s="14"/>
    </row>
    <row r="18" spans="1:19" s="56" customFormat="1" ht="12.75" customHeight="1">
      <c r="A18" s="54"/>
      <c r="B18" s="55"/>
      <c r="C18" s="60" t="s">
        <v>55</v>
      </c>
      <c r="E18" s="42"/>
      <c r="F18" s="42"/>
      <c r="G18" s="42"/>
      <c r="H18" s="42"/>
      <c r="I18" s="42"/>
      <c r="J18" s="42"/>
      <c r="K18" s="42"/>
      <c r="L18" s="42"/>
      <c r="M18" s="42"/>
      <c r="N18" s="42"/>
      <c r="O18" s="42"/>
      <c r="P18" s="42"/>
      <c r="Q18" s="42"/>
      <c r="R18" s="42"/>
      <c r="S18" s="42"/>
    </row>
    <row r="19" spans="1:19" s="56" customFormat="1" ht="12.75" customHeight="1">
      <c r="A19" s="54"/>
      <c r="B19" s="55"/>
      <c r="C19" s="62"/>
      <c r="D19" s="62"/>
      <c r="E19" s="29"/>
      <c r="F19" s="29"/>
      <c r="G19" s="29"/>
      <c r="H19" s="63"/>
      <c r="I19" s="63"/>
      <c r="J19" s="63"/>
      <c r="K19" s="63"/>
      <c r="L19" s="63"/>
      <c r="M19" s="63"/>
      <c r="N19" s="63"/>
      <c r="O19" s="63"/>
      <c r="P19" s="63"/>
      <c r="Q19" s="63"/>
      <c r="R19" s="63"/>
      <c r="S19" s="63"/>
    </row>
    <row r="20" spans="1:19" s="56" customFormat="1" ht="12.75" customHeight="1">
      <c r="A20" s="54"/>
      <c r="B20" s="55"/>
      <c r="C20" s="62" t="s">
        <v>6</v>
      </c>
      <c r="D20" s="62"/>
      <c r="E20" s="30"/>
      <c r="F20" s="30"/>
      <c r="G20" s="30"/>
      <c r="H20" s="30"/>
      <c r="I20" s="30"/>
      <c r="J20" s="30"/>
      <c r="K20" s="30"/>
      <c r="L20" s="30"/>
      <c r="M20" s="30"/>
      <c r="N20" s="30"/>
      <c r="O20" s="30"/>
      <c r="P20" s="30"/>
      <c r="Q20" s="30"/>
      <c r="R20" s="30"/>
      <c r="S20" s="30"/>
    </row>
    <row r="21" spans="1:19" s="56" customFormat="1" ht="12.75" customHeight="1">
      <c r="A21" s="54"/>
      <c r="B21" s="55"/>
      <c r="C21" s="62" t="s">
        <v>7</v>
      </c>
      <c r="D21" s="62"/>
      <c r="E21" s="31"/>
      <c r="F21" s="31"/>
      <c r="G21" s="31"/>
      <c r="H21" s="31"/>
      <c r="I21" s="31"/>
      <c r="J21" s="31"/>
      <c r="K21" s="31"/>
      <c r="L21" s="31"/>
      <c r="M21" s="31"/>
      <c r="N21" s="31"/>
      <c r="O21" s="31"/>
      <c r="P21" s="31"/>
      <c r="Q21" s="31"/>
      <c r="R21" s="31"/>
      <c r="S21" s="31"/>
    </row>
    <row r="22" spans="1:19" s="56" customFormat="1" ht="12.75" customHeight="1">
      <c r="A22" s="54"/>
      <c r="B22" s="55"/>
      <c r="C22" s="62"/>
      <c r="D22" s="62"/>
      <c r="E22" s="29"/>
      <c r="F22" s="29"/>
      <c r="G22" s="29"/>
      <c r="H22" s="64"/>
      <c r="I22" s="64"/>
      <c r="J22" s="64"/>
      <c r="K22" s="64"/>
      <c r="L22" s="64"/>
      <c r="M22" s="63"/>
      <c r="N22" s="63"/>
      <c r="O22" s="63"/>
      <c r="P22" s="63"/>
      <c r="Q22" s="63"/>
      <c r="R22" s="63"/>
      <c r="S22" s="63"/>
    </row>
    <row r="23" spans="1:19" s="56" customFormat="1" ht="12.75" customHeight="1">
      <c r="A23" s="54"/>
      <c r="B23" s="55"/>
      <c r="C23" s="62" t="s">
        <v>8</v>
      </c>
      <c r="D23" s="62"/>
      <c r="E23" s="32"/>
      <c r="F23" s="32"/>
      <c r="G23" s="32"/>
      <c r="H23" s="32"/>
      <c r="I23" s="32"/>
      <c r="J23" s="32"/>
      <c r="K23" s="32"/>
      <c r="L23" s="32"/>
      <c r="M23" s="32"/>
      <c r="N23" s="32"/>
      <c r="O23" s="32"/>
      <c r="P23" s="32"/>
      <c r="Q23" s="32"/>
      <c r="R23" s="32"/>
      <c r="S23" s="32"/>
    </row>
    <row r="24" spans="1:19" s="56" customFormat="1" ht="12.75" customHeight="1">
      <c r="A24" s="54"/>
      <c r="B24" s="55"/>
      <c r="C24" s="62" t="s">
        <v>9</v>
      </c>
      <c r="D24" s="62"/>
      <c r="E24" s="31"/>
      <c r="F24" s="31"/>
      <c r="G24" s="31"/>
      <c r="H24" s="31"/>
      <c r="I24" s="31"/>
      <c r="J24" s="31"/>
      <c r="K24" s="31"/>
      <c r="L24" s="31"/>
      <c r="M24" s="31"/>
      <c r="N24" s="31"/>
      <c r="O24" s="31"/>
      <c r="P24" s="31"/>
      <c r="Q24" s="31"/>
      <c r="R24" s="31"/>
      <c r="S24" s="31"/>
    </row>
    <row r="25" spans="1:19" s="56" customFormat="1" ht="12.75" customHeight="1">
      <c r="A25" s="54"/>
      <c r="B25" s="55"/>
      <c r="C25" s="62"/>
      <c r="D25" s="62"/>
      <c r="E25" s="29"/>
      <c r="F25" s="29"/>
      <c r="G25" s="29"/>
      <c r="H25" s="63"/>
      <c r="I25" s="63"/>
      <c r="J25" s="63"/>
      <c r="K25" s="63"/>
      <c r="L25" s="63"/>
      <c r="M25" s="63"/>
      <c r="N25" s="63"/>
      <c r="O25" s="63"/>
      <c r="P25" s="63"/>
      <c r="Q25" s="63"/>
      <c r="R25" s="63"/>
      <c r="S25" s="63"/>
    </row>
    <row r="26" spans="1:19" s="56" customFormat="1" ht="12.75" customHeight="1">
      <c r="A26" s="54"/>
      <c r="B26" s="55"/>
      <c r="C26" s="62" t="s">
        <v>10</v>
      </c>
      <c r="D26" s="62"/>
      <c r="E26" s="32"/>
      <c r="F26" s="32"/>
      <c r="G26" s="32"/>
      <c r="H26" s="32"/>
      <c r="I26" s="32"/>
      <c r="J26" s="32"/>
      <c r="K26" s="32"/>
      <c r="L26" s="32"/>
      <c r="M26" s="32"/>
      <c r="N26" s="32"/>
      <c r="O26" s="32"/>
      <c r="P26" s="32"/>
      <c r="Q26" s="32"/>
      <c r="R26" s="32"/>
      <c r="S26" s="32"/>
    </row>
    <row r="27" spans="1:19" s="56" customFormat="1" ht="12.75" customHeight="1">
      <c r="A27" s="54"/>
      <c r="B27" s="55"/>
      <c r="C27" s="62" t="s">
        <v>11</v>
      </c>
      <c r="D27" s="62"/>
      <c r="E27" s="31"/>
      <c r="F27" s="31"/>
      <c r="G27" s="31"/>
      <c r="H27" s="31"/>
      <c r="I27" s="31"/>
      <c r="J27" s="31"/>
      <c r="K27" s="31"/>
      <c r="L27" s="31"/>
      <c r="M27" s="31"/>
      <c r="N27" s="31"/>
      <c r="O27" s="31"/>
      <c r="P27" s="31"/>
      <c r="Q27" s="31"/>
      <c r="R27" s="31"/>
      <c r="S27" s="31"/>
    </row>
    <row r="28" spans="1:19" s="56" customFormat="1" ht="12.75" customHeight="1">
      <c r="A28" s="54"/>
      <c r="B28" s="55"/>
      <c r="C28" s="62"/>
      <c r="D28" s="62"/>
      <c r="E28" s="33"/>
      <c r="F28" s="33"/>
      <c r="G28" s="33"/>
      <c r="H28" s="33"/>
      <c r="I28" s="33"/>
      <c r="J28" s="33"/>
      <c r="K28" s="33"/>
      <c r="L28" s="33"/>
      <c r="M28" s="33"/>
      <c r="N28" s="33"/>
      <c r="O28" s="33"/>
      <c r="P28" s="33"/>
      <c r="Q28" s="33"/>
      <c r="R28" s="33"/>
      <c r="S28" s="33"/>
    </row>
    <row r="29" spans="1:19" s="56" customFormat="1" ht="12.75" customHeight="1">
      <c r="A29" s="54"/>
      <c r="B29" s="55"/>
      <c r="C29" s="62" t="s">
        <v>12</v>
      </c>
      <c r="D29" s="62"/>
      <c r="E29" s="34">
        <f>IF(AND(E16="Yes",E18&gt;0),((((E20*E21)+(E23*E24))/100)/2*E18),0)</f>
        <v>0</v>
      </c>
      <c r="F29" s="34">
        <f t="shared" ref="F29:S29" si="2">IF(AND(F16="Yes",F18&gt;0),((((F20*F21)+(F23*F24))/100)/2*F18),0)</f>
        <v>0</v>
      </c>
      <c r="G29" s="34">
        <f t="shared" si="2"/>
        <v>0</v>
      </c>
      <c r="H29" s="34">
        <f t="shared" si="2"/>
        <v>0</v>
      </c>
      <c r="I29" s="34">
        <f t="shared" si="2"/>
        <v>0</v>
      </c>
      <c r="J29" s="34">
        <f t="shared" si="2"/>
        <v>0</v>
      </c>
      <c r="K29" s="34">
        <f t="shared" si="2"/>
        <v>0</v>
      </c>
      <c r="L29" s="34">
        <f t="shared" si="2"/>
        <v>0</v>
      </c>
      <c r="M29" s="34">
        <f t="shared" si="2"/>
        <v>0</v>
      </c>
      <c r="N29" s="34">
        <f t="shared" si="2"/>
        <v>0</v>
      </c>
      <c r="O29" s="34">
        <f t="shared" si="2"/>
        <v>0</v>
      </c>
      <c r="P29" s="34">
        <f t="shared" si="2"/>
        <v>0</v>
      </c>
      <c r="Q29" s="34">
        <f t="shared" si="2"/>
        <v>0</v>
      </c>
      <c r="R29" s="34">
        <f t="shared" si="2"/>
        <v>0</v>
      </c>
      <c r="S29" s="34">
        <f t="shared" si="2"/>
        <v>0</v>
      </c>
    </row>
    <row r="30" spans="1:19" s="56" customFormat="1" ht="12.75" customHeight="1">
      <c r="A30" s="54"/>
      <c r="B30" s="55"/>
      <c r="C30" s="62"/>
      <c r="D30" s="62"/>
      <c r="E30" s="29"/>
      <c r="F30" s="29"/>
      <c r="G30" s="29"/>
      <c r="H30" s="63"/>
      <c r="I30" s="63"/>
      <c r="J30" s="63"/>
      <c r="K30" s="63"/>
      <c r="L30" s="63"/>
      <c r="M30" s="63"/>
      <c r="N30" s="63"/>
      <c r="O30" s="63"/>
      <c r="P30" s="63"/>
      <c r="Q30" s="63"/>
      <c r="R30" s="63"/>
      <c r="S30" s="63"/>
    </row>
    <row r="31" spans="1:19" s="56" customFormat="1" ht="12.75" customHeight="1">
      <c r="A31" s="54"/>
      <c r="B31" s="55"/>
      <c r="C31" s="62" t="s">
        <v>51</v>
      </c>
      <c r="D31" s="62"/>
      <c r="E31" s="35"/>
      <c r="F31" s="35"/>
      <c r="G31" s="35"/>
      <c r="H31" s="35"/>
      <c r="I31" s="35"/>
      <c r="J31" s="35"/>
      <c r="K31" s="35"/>
      <c r="L31" s="35"/>
      <c r="M31" s="35"/>
      <c r="N31" s="35"/>
      <c r="O31" s="35"/>
      <c r="P31" s="35"/>
      <c r="Q31" s="35"/>
      <c r="R31" s="35"/>
      <c r="S31" s="35"/>
    </row>
    <row r="32" spans="1:19" s="56" customFormat="1" ht="12.75" customHeight="1">
      <c r="A32" s="54"/>
      <c r="B32" s="55"/>
      <c r="C32" s="62"/>
      <c r="D32" s="62"/>
      <c r="E32" s="29"/>
      <c r="F32" s="29"/>
      <c r="G32" s="29"/>
      <c r="H32" s="63"/>
      <c r="I32" s="63"/>
      <c r="J32" s="63"/>
      <c r="K32" s="63"/>
      <c r="L32" s="63"/>
      <c r="M32" s="63"/>
      <c r="N32" s="63"/>
      <c r="O32" s="63"/>
      <c r="P32" s="63"/>
      <c r="Q32" s="63"/>
      <c r="R32" s="63"/>
      <c r="S32" s="63"/>
    </row>
    <row r="33" spans="1:19" s="56" customFormat="1" ht="12.75" customHeight="1">
      <c r="A33" s="54"/>
      <c r="B33" s="55"/>
      <c r="C33" s="62" t="s">
        <v>48</v>
      </c>
      <c r="D33" s="62"/>
      <c r="E33" s="29"/>
      <c r="F33" s="29"/>
      <c r="G33" s="29"/>
      <c r="H33" s="63"/>
      <c r="I33" s="63"/>
      <c r="J33" s="63"/>
      <c r="K33" s="63"/>
      <c r="L33" s="63"/>
      <c r="M33" s="63"/>
      <c r="N33" s="63"/>
      <c r="O33" s="63"/>
      <c r="P33" s="63"/>
      <c r="Q33" s="63"/>
      <c r="R33" s="63"/>
      <c r="S33" s="63"/>
    </row>
    <row r="34" spans="1:19" s="56" customFormat="1" ht="12.75" customHeight="1">
      <c r="A34" s="54"/>
      <c r="B34" s="55"/>
      <c r="C34" s="62" t="s">
        <v>49</v>
      </c>
      <c r="D34" s="62"/>
      <c r="E34" s="35"/>
      <c r="F34" s="35"/>
      <c r="G34" s="35"/>
      <c r="H34" s="35"/>
      <c r="I34" s="35"/>
      <c r="J34" s="35"/>
      <c r="K34" s="35"/>
      <c r="L34" s="35"/>
      <c r="M34" s="35"/>
      <c r="N34" s="35"/>
      <c r="O34" s="35"/>
      <c r="P34" s="35"/>
      <c r="Q34" s="35"/>
      <c r="R34" s="35"/>
      <c r="S34" s="35"/>
    </row>
    <row r="35" spans="1:19" s="56" customFormat="1" ht="12.75" customHeight="1">
      <c r="A35" s="54"/>
      <c r="B35" s="55"/>
      <c r="C35" s="62"/>
      <c r="D35" s="62"/>
      <c r="E35" s="29"/>
      <c r="F35" s="29"/>
      <c r="G35" s="29"/>
      <c r="H35" s="63"/>
      <c r="I35" s="63"/>
      <c r="J35" s="63"/>
      <c r="K35" s="63"/>
      <c r="L35" s="63"/>
      <c r="M35" s="63"/>
      <c r="N35" s="63"/>
      <c r="O35" s="63"/>
      <c r="P35" s="63"/>
      <c r="Q35" s="63"/>
      <c r="R35" s="63"/>
      <c r="S35" s="63"/>
    </row>
    <row r="36" spans="1:19" s="56" customFormat="1" ht="12.75" customHeight="1">
      <c r="A36" s="54"/>
      <c r="B36" s="55"/>
      <c r="C36" s="62" t="s">
        <v>17</v>
      </c>
      <c r="D36" s="62"/>
      <c r="E36" s="65"/>
      <c r="F36" s="65"/>
      <c r="G36" s="65"/>
      <c r="H36" s="65"/>
      <c r="I36" s="65"/>
      <c r="J36" s="65"/>
      <c r="K36" s="65"/>
      <c r="L36" s="65"/>
      <c r="M36" s="65"/>
      <c r="N36" s="65"/>
      <c r="O36" s="65"/>
      <c r="P36" s="65"/>
      <c r="Q36" s="65"/>
      <c r="R36" s="65"/>
      <c r="S36" s="65"/>
    </row>
    <row r="37" spans="1:19" s="56" customFormat="1" ht="12.75" customHeight="1">
      <c r="A37" s="54"/>
      <c r="B37" s="55"/>
      <c r="C37" s="62" t="s">
        <v>50</v>
      </c>
      <c r="D37" s="62"/>
      <c r="E37" s="36">
        <f>E29-E31-E34</f>
        <v>0</v>
      </c>
      <c r="F37" s="36">
        <f t="shared" ref="F37:N37" si="3">F29-F31-F34</f>
        <v>0</v>
      </c>
      <c r="G37" s="36">
        <f t="shared" si="3"/>
        <v>0</v>
      </c>
      <c r="H37" s="36">
        <f t="shared" si="3"/>
        <v>0</v>
      </c>
      <c r="I37" s="36">
        <f t="shared" si="3"/>
        <v>0</v>
      </c>
      <c r="J37" s="36">
        <f t="shared" si="3"/>
        <v>0</v>
      </c>
      <c r="K37" s="36">
        <f t="shared" si="3"/>
        <v>0</v>
      </c>
      <c r="L37" s="36">
        <f t="shared" si="3"/>
        <v>0</v>
      </c>
      <c r="M37" s="36">
        <f t="shared" si="3"/>
        <v>0</v>
      </c>
      <c r="N37" s="36">
        <f t="shared" si="3"/>
        <v>0</v>
      </c>
      <c r="O37" s="36">
        <f>O29-O31-O34</f>
        <v>0</v>
      </c>
      <c r="P37" s="36">
        <f t="shared" ref="P37:S37" si="4">P29-P31-P34</f>
        <v>0</v>
      </c>
      <c r="Q37" s="36">
        <f t="shared" si="4"/>
        <v>0</v>
      </c>
      <c r="R37" s="36">
        <f t="shared" si="4"/>
        <v>0</v>
      </c>
      <c r="S37" s="36">
        <f t="shared" si="4"/>
        <v>0</v>
      </c>
    </row>
    <row r="38" spans="1:19" s="56" customFormat="1" ht="12.75" customHeight="1">
      <c r="A38" s="54"/>
      <c r="B38" s="55"/>
      <c r="C38" s="62"/>
      <c r="D38" s="62"/>
      <c r="E38" s="29"/>
      <c r="F38" s="29"/>
      <c r="G38" s="29"/>
      <c r="H38" s="63"/>
      <c r="I38" s="63"/>
      <c r="J38" s="63"/>
      <c r="K38" s="63"/>
      <c r="L38" s="63"/>
      <c r="M38" s="63"/>
      <c r="N38" s="63"/>
      <c r="O38" s="63"/>
      <c r="P38" s="63"/>
      <c r="Q38" s="63"/>
      <c r="R38" s="63"/>
      <c r="S38" s="63"/>
    </row>
    <row r="39" spans="1:19" s="56" customFormat="1" ht="12.75" customHeight="1">
      <c r="A39" s="54"/>
      <c r="B39" s="55"/>
      <c r="C39" s="57" t="s">
        <v>33</v>
      </c>
      <c r="D39" s="59" t="s">
        <v>18</v>
      </c>
      <c r="E39" s="66">
        <f t="shared" ref="E39:S39" si="5">E15</f>
        <v>0</v>
      </c>
      <c r="F39" s="66">
        <f t="shared" si="5"/>
        <v>1</v>
      </c>
      <c r="G39" s="66">
        <f t="shared" si="5"/>
        <v>2</v>
      </c>
      <c r="H39" s="66">
        <f t="shared" si="5"/>
        <v>3</v>
      </c>
      <c r="I39" s="66">
        <f t="shared" si="5"/>
        <v>4</v>
      </c>
      <c r="J39" s="66">
        <f t="shared" si="5"/>
        <v>5</v>
      </c>
      <c r="K39" s="66">
        <f t="shared" si="5"/>
        <v>6</v>
      </c>
      <c r="L39" s="66">
        <f t="shared" si="5"/>
        <v>7</v>
      </c>
      <c r="M39" s="66">
        <f t="shared" si="5"/>
        <v>8</v>
      </c>
      <c r="N39" s="66">
        <f t="shared" si="5"/>
        <v>9</v>
      </c>
      <c r="O39" s="66">
        <f t="shared" si="5"/>
        <v>10</v>
      </c>
      <c r="P39" s="66">
        <f t="shared" si="5"/>
        <v>11</v>
      </c>
      <c r="Q39" s="66">
        <f t="shared" si="5"/>
        <v>12</v>
      </c>
      <c r="R39" s="66">
        <f t="shared" si="5"/>
        <v>13</v>
      </c>
      <c r="S39" s="66">
        <f t="shared" si="5"/>
        <v>14</v>
      </c>
    </row>
    <row r="40" spans="1:19" s="56" customFormat="1" ht="12.75" customHeight="1">
      <c r="A40" s="54"/>
      <c r="B40" s="55"/>
      <c r="C40" s="57"/>
      <c r="D40" s="67" t="s">
        <v>70</v>
      </c>
      <c r="E40" s="68" t="s">
        <v>21</v>
      </c>
      <c r="F40" s="68" t="s">
        <v>22</v>
      </c>
      <c r="G40" s="68" t="s">
        <v>23</v>
      </c>
      <c r="H40" s="68" t="s">
        <v>24</v>
      </c>
      <c r="I40" s="68" t="s">
        <v>25</v>
      </c>
      <c r="J40" s="68" t="s">
        <v>26</v>
      </c>
      <c r="K40" s="68" t="s">
        <v>27</v>
      </c>
      <c r="L40" s="68" t="s">
        <v>28</v>
      </c>
      <c r="M40" s="68" t="s">
        <v>29</v>
      </c>
      <c r="N40" s="68" t="s">
        <v>30</v>
      </c>
      <c r="O40" s="68" t="s">
        <v>31</v>
      </c>
      <c r="P40" s="68" t="s">
        <v>63</v>
      </c>
      <c r="Q40" s="68" t="s">
        <v>64</v>
      </c>
      <c r="R40" s="68" t="s">
        <v>65</v>
      </c>
      <c r="S40" s="68" t="s">
        <v>66</v>
      </c>
    </row>
    <row r="41" spans="1:19" s="56" customFormat="1" ht="12.75" customHeight="1">
      <c r="A41" s="54"/>
      <c r="B41" s="55"/>
      <c r="C41" s="69"/>
      <c r="D41" s="69"/>
      <c r="E41" s="36"/>
      <c r="F41" s="36"/>
      <c r="G41" s="36"/>
      <c r="H41" s="36"/>
      <c r="I41" s="36"/>
      <c r="J41" s="36"/>
      <c r="K41" s="36"/>
      <c r="L41" s="36"/>
      <c r="M41" s="36"/>
      <c r="N41" s="36"/>
      <c r="O41" s="36"/>
      <c r="P41" s="36"/>
      <c r="Q41" s="36"/>
      <c r="R41" s="36"/>
      <c r="S41" s="36"/>
    </row>
    <row r="42" spans="1:19" s="56" customFormat="1" ht="12.75" customHeight="1">
      <c r="A42" s="54"/>
      <c r="B42" s="55"/>
      <c r="C42" s="69" t="s">
        <v>13</v>
      </c>
      <c r="D42" s="69"/>
      <c r="E42" s="36">
        <f t="shared" ref="E42:S42" si="6">E37</f>
        <v>0</v>
      </c>
      <c r="F42" s="36">
        <f t="shared" si="6"/>
        <v>0</v>
      </c>
      <c r="G42" s="36">
        <f t="shared" si="6"/>
        <v>0</v>
      </c>
      <c r="H42" s="36">
        <f t="shared" si="6"/>
        <v>0</v>
      </c>
      <c r="I42" s="36">
        <f t="shared" si="6"/>
        <v>0</v>
      </c>
      <c r="J42" s="36">
        <f t="shared" si="6"/>
        <v>0</v>
      </c>
      <c r="K42" s="36">
        <f t="shared" si="6"/>
        <v>0</v>
      </c>
      <c r="L42" s="36">
        <f t="shared" si="6"/>
        <v>0</v>
      </c>
      <c r="M42" s="36">
        <f t="shared" si="6"/>
        <v>0</v>
      </c>
      <c r="N42" s="36">
        <f t="shared" si="6"/>
        <v>0</v>
      </c>
      <c r="O42" s="36">
        <f t="shared" si="6"/>
        <v>0</v>
      </c>
      <c r="P42" s="36">
        <f t="shared" si="6"/>
        <v>0</v>
      </c>
      <c r="Q42" s="36">
        <f t="shared" si="6"/>
        <v>0</v>
      </c>
      <c r="R42" s="36">
        <f t="shared" si="6"/>
        <v>0</v>
      </c>
      <c r="S42" s="36">
        <f t="shared" si="6"/>
        <v>0</v>
      </c>
    </row>
    <row r="43" spans="1:19" s="56" customFormat="1" ht="12.75" customHeight="1">
      <c r="A43" s="54"/>
      <c r="B43" s="55"/>
      <c r="C43" s="69"/>
      <c r="D43" s="69"/>
      <c r="E43" s="36"/>
      <c r="F43" s="36"/>
      <c r="G43" s="36"/>
      <c r="H43" s="36"/>
      <c r="I43" s="36"/>
      <c r="J43" s="36"/>
      <c r="K43" s="36"/>
      <c r="L43" s="36"/>
      <c r="M43" s="36"/>
      <c r="N43" s="36"/>
      <c r="O43" s="36"/>
      <c r="P43" s="36"/>
      <c r="Q43" s="36"/>
      <c r="R43" s="36"/>
      <c r="S43" s="36"/>
    </row>
    <row r="44" spans="1:19" s="56" customFormat="1" ht="12.75" customHeight="1">
      <c r="A44" s="54"/>
      <c r="B44" s="55"/>
      <c r="C44" s="69" t="s">
        <v>14</v>
      </c>
      <c r="D44" s="69"/>
      <c r="E44" s="36">
        <f t="shared" ref="E44:S44" si="7">E26*E27/100</f>
        <v>0</v>
      </c>
      <c r="F44" s="36">
        <f t="shared" si="7"/>
        <v>0</v>
      </c>
      <c r="G44" s="36">
        <f t="shared" si="7"/>
        <v>0</v>
      </c>
      <c r="H44" s="36">
        <f t="shared" si="7"/>
        <v>0</v>
      </c>
      <c r="I44" s="36">
        <f t="shared" si="7"/>
        <v>0</v>
      </c>
      <c r="J44" s="36">
        <f>J26*J27/100</f>
        <v>0</v>
      </c>
      <c r="K44" s="36">
        <f t="shared" si="7"/>
        <v>0</v>
      </c>
      <c r="L44" s="36">
        <f>L26*L27/100</f>
        <v>0</v>
      </c>
      <c r="M44" s="36">
        <f t="shared" si="7"/>
        <v>0</v>
      </c>
      <c r="N44" s="36">
        <f t="shared" si="7"/>
        <v>0</v>
      </c>
      <c r="O44" s="36">
        <f t="shared" si="7"/>
        <v>0</v>
      </c>
      <c r="P44" s="36">
        <f t="shared" si="7"/>
        <v>0</v>
      </c>
      <c r="Q44" s="36">
        <f t="shared" si="7"/>
        <v>0</v>
      </c>
      <c r="R44" s="36">
        <f t="shared" si="7"/>
        <v>0</v>
      </c>
      <c r="S44" s="36">
        <f t="shared" si="7"/>
        <v>0</v>
      </c>
    </row>
    <row r="45" spans="1:19" s="56" customFormat="1" ht="12.75" customHeight="1">
      <c r="A45" s="54"/>
      <c r="B45" s="55"/>
      <c r="C45" s="69"/>
      <c r="D45" s="69"/>
      <c r="E45" s="33"/>
      <c r="F45" s="33"/>
      <c r="G45" s="33"/>
      <c r="H45" s="33"/>
      <c r="I45" s="33"/>
      <c r="J45" s="33"/>
      <c r="K45" s="33"/>
      <c r="L45" s="33"/>
      <c r="M45" s="33"/>
      <c r="N45" s="33"/>
      <c r="O45" s="33"/>
      <c r="P45" s="33"/>
      <c r="Q45" s="33"/>
      <c r="R45" s="33"/>
      <c r="S45" s="33"/>
    </row>
    <row r="46" spans="1:19" s="56" customFormat="1" ht="12.75" customHeight="1">
      <c r="A46" s="54"/>
      <c r="B46" s="55"/>
      <c r="C46" s="69" t="s">
        <v>56</v>
      </c>
      <c r="D46" s="69"/>
      <c r="E46" s="33"/>
      <c r="F46" s="33"/>
      <c r="G46" s="33"/>
      <c r="H46" s="33"/>
      <c r="I46" s="33"/>
      <c r="J46" s="33"/>
      <c r="K46" s="33"/>
      <c r="L46" s="33"/>
      <c r="M46" s="33"/>
      <c r="N46" s="33"/>
      <c r="O46" s="33"/>
      <c r="P46" s="33"/>
      <c r="Q46" s="33"/>
      <c r="R46" s="33"/>
      <c r="S46" s="33"/>
    </row>
    <row r="47" spans="1:19" s="56" customFormat="1" ht="12.75" customHeight="1">
      <c r="A47" s="54"/>
      <c r="B47" s="55"/>
      <c r="C47" s="70" t="s">
        <v>57</v>
      </c>
      <c r="D47" s="71">
        <f>-F10</f>
        <v>0</v>
      </c>
      <c r="E47" s="36">
        <f t="shared" ref="E47:R47" si="8">E42+E44</f>
        <v>0</v>
      </c>
      <c r="F47" s="36">
        <f t="shared" si="8"/>
        <v>0</v>
      </c>
      <c r="G47" s="36">
        <f t="shared" si="8"/>
        <v>0</v>
      </c>
      <c r="H47" s="36">
        <f t="shared" si="8"/>
        <v>0</v>
      </c>
      <c r="I47" s="36">
        <f t="shared" si="8"/>
        <v>0</v>
      </c>
      <c r="J47" s="36">
        <f t="shared" si="8"/>
        <v>0</v>
      </c>
      <c r="K47" s="36">
        <f t="shared" si="8"/>
        <v>0</v>
      </c>
      <c r="L47" s="36">
        <f t="shared" si="8"/>
        <v>0</v>
      </c>
      <c r="M47" s="36">
        <f t="shared" si="8"/>
        <v>0</v>
      </c>
      <c r="N47" s="36">
        <f t="shared" si="8"/>
        <v>0</v>
      </c>
      <c r="O47" s="36">
        <f t="shared" si="8"/>
        <v>0</v>
      </c>
      <c r="P47" s="36">
        <f t="shared" si="8"/>
        <v>0</v>
      </c>
      <c r="Q47" s="36">
        <f t="shared" si="8"/>
        <v>0</v>
      </c>
      <c r="R47" s="36">
        <f t="shared" si="8"/>
        <v>0</v>
      </c>
      <c r="S47" s="36">
        <f>S42+S44</f>
        <v>0</v>
      </c>
    </row>
    <row r="48" spans="1:19" s="56" customFormat="1" ht="12.75" customHeight="1">
      <c r="A48" s="54"/>
      <c r="B48" s="55"/>
      <c r="C48" s="72" t="s">
        <v>58</v>
      </c>
      <c r="D48" s="71">
        <f>-F10</f>
        <v>0</v>
      </c>
      <c r="E48" s="36">
        <f>E42</f>
        <v>0</v>
      </c>
      <c r="F48" s="36">
        <f t="shared" ref="F48:R48" si="9">F42</f>
        <v>0</v>
      </c>
      <c r="G48" s="36">
        <f t="shared" si="9"/>
        <v>0</v>
      </c>
      <c r="H48" s="36">
        <f t="shared" si="9"/>
        <v>0</v>
      </c>
      <c r="I48" s="36">
        <f t="shared" si="9"/>
        <v>0</v>
      </c>
      <c r="J48" s="36">
        <f t="shared" si="9"/>
        <v>0</v>
      </c>
      <c r="K48" s="36">
        <f t="shared" si="9"/>
        <v>0</v>
      </c>
      <c r="L48" s="36">
        <f t="shared" si="9"/>
        <v>0</v>
      </c>
      <c r="M48" s="36">
        <f t="shared" si="9"/>
        <v>0</v>
      </c>
      <c r="N48" s="36">
        <f t="shared" si="9"/>
        <v>0</v>
      </c>
      <c r="O48" s="36">
        <f t="shared" si="9"/>
        <v>0</v>
      </c>
      <c r="P48" s="36">
        <f t="shared" si="9"/>
        <v>0</v>
      </c>
      <c r="Q48" s="36">
        <f t="shared" si="9"/>
        <v>0</v>
      </c>
      <c r="R48" s="36">
        <f t="shared" si="9"/>
        <v>0</v>
      </c>
      <c r="S48" s="36">
        <f>S42</f>
        <v>0</v>
      </c>
    </row>
    <row r="49" spans="1:19" s="56" customFormat="1" ht="12.75" customHeight="1">
      <c r="A49" s="54"/>
      <c r="B49" s="55"/>
      <c r="C49" s="69"/>
      <c r="D49" s="71"/>
      <c r="E49" s="36"/>
      <c r="F49" s="36"/>
      <c r="G49" s="36"/>
      <c r="H49" s="36"/>
      <c r="I49" s="36"/>
      <c r="J49" s="36"/>
      <c r="K49" s="36"/>
      <c r="L49" s="36"/>
      <c r="M49" s="36"/>
      <c r="N49" s="36"/>
      <c r="O49" s="36"/>
      <c r="P49" s="36"/>
      <c r="Q49" s="36"/>
      <c r="R49" s="36"/>
      <c r="S49" s="36"/>
    </row>
    <row r="50" spans="1:19" s="56" customFormat="1" ht="12.75" customHeight="1">
      <c r="A50" s="54"/>
      <c r="B50" s="55"/>
      <c r="C50" s="69" t="s">
        <v>32</v>
      </c>
      <c r="D50" s="71"/>
      <c r="E50" s="36"/>
      <c r="F50" s="36"/>
      <c r="G50" s="36"/>
      <c r="H50" s="36"/>
      <c r="I50" s="36"/>
      <c r="J50" s="36"/>
      <c r="K50" s="36"/>
      <c r="L50" s="36"/>
      <c r="M50" s="36"/>
      <c r="N50" s="36"/>
      <c r="O50" s="36"/>
      <c r="P50" s="36"/>
      <c r="Q50" s="36"/>
      <c r="R50" s="36"/>
      <c r="S50" s="36"/>
    </row>
    <row r="51" spans="1:19" s="56" customFormat="1" ht="12.75" customHeight="1">
      <c r="A51" s="54"/>
      <c r="B51" s="55"/>
      <c r="C51" s="73" t="s">
        <v>59</v>
      </c>
      <c r="D51" s="71"/>
      <c r="E51" s="36"/>
      <c r="F51" s="36"/>
      <c r="G51" s="36"/>
      <c r="H51" s="36"/>
      <c r="I51" s="36"/>
      <c r="J51" s="36"/>
      <c r="K51" s="36"/>
      <c r="L51" s="36"/>
      <c r="M51" s="36"/>
      <c r="N51" s="36"/>
      <c r="O51" s="36"/>
      <c r="P51" s="36"/>
      <c r="Q51" s="36"/>
      <c r="R51" s="36"/>
      <c r="S51" s="36"/>
    </row>
    <row r="52" spans="1:19" s="56" customFormat="1" ht="12.75" customHeight="1">
      <c r="A52" s="54"/>
      <c r="B52" s="55"/>
      <c r="C52" s="70" t="s">
        <v>57</v>
      </c>
      <c r="D52" s="74">
        <f>IF(OR(D47&lt;0,D47&gt;0),D47,0)</f>
        <v>0</v>
      </c>
      <c r="E52" s="37" t="e">
        <f>IF(OR(E47&lt;0,E47&gt;0),D52+E47,NA())</f>
        <v>#N/A</v>
      </c>
      <c r="F52" s="36" t="e">
        <f t="shared" ref="F52:S52" si="10">IF(OR(F47&lt;0,F47&gt;0),E52+F47,NA())</f>
        <v>#N/A</v>
      </c>
      <c r="G52" s="36" t="e">
        <f t="shared" si="10"/>
        <v>#N/A</v>
      </c>
      <c r="H52" s="36" t="e">
        <f t="shared" si="10"/>
        <v>#N/A</v>
      </c>
      <c r="I52" s="36" t="e">
        <f t="shared" si="10"/>
        <v>#N/A</v>
      </c>
      <c r="J52" s="36" t="e">
        <f t="shared" si="10"/>
        <v>#N/A</v>
      </c>
      <c r="K52" s="36" t="e">
        <f t="shared" si="10"/>
        <v>#N/A</v>
      </c>
      <c r="L52" s="36" t="e">
        <f t="shared" si="10"/>
        <v>#N/A</v>
      </c>
      <c r="M52" s="36" t="e">
        <f t="shared" si="10"/>
        <v>#N/A</v>
      </c>
      <c r="N52" s="36" t="e">
        <f t="shared" si="10"/>
        <v>#N/A</v>
      </c>
      <c r="O52" s="36" t="e">
        <f t="shared" si="10"/>
        <v>#N/A</v>
      </c>
      <c r="P52" s="36" t="e">
        <f t="shared" si="10"/>
        <v>#N/A</v>
      </c>
      <c r="Q52" s="36" t="e">
        <f t="shared" si="10"/>
        <v>#N/A</v>
      </c>
      <c r="R52" s="36" t="e">
        <f t="shared" si="10"/>
        <v>#N/A</v>
      </c>
      <c r="S52" s="36" t="e">
        <f t="shared" si="10"/>
        <v>#N/A</v>
      </c>
    </row>
    <row r="53" spans="1:19" s="56" customFormat="1" ht="12.75" customHeight="1">
      <c r="A53" s="54"/>
      <c r="B53" s="55"/>
      <c r="C53" s="75" t="s">
        <v>58</v>
      </c>
      <c r="D53" s="74">
        <f>IF(OR(D47&lt;0,D47&gt;0),D47,0)</f>
        <v>0</v>
      </c>
      <c r="E53" s="37" t="e">
        <f t="shared" ref="E53:S53" si="11">IF(OR(E42&lt;0,E42&gt;0),D52+E42,NA())</f>
        <v>#N/A</v>
      </c>
      <c r="F53" s="37" t="e">
        <f t="shared" si="11"/>
        <v>#N/A</v>
      </c>
      <c r="G53" s="37" t="e">
        <f t="shared" si="11"/>
        <v>#N/A</v>
      </c>
      <c r="H53" s="37" t="e">
        <f t="shared" si="11"/>
        <v>#N/A</v>
      </c>
      <c r="I53" s="37" t="e">
        <f t="shared" si="11"/>
        <v>#N/A</v>
      </c>
      <c r="J53" s="37" t="e">
        <f t="shared" si="11"/>
        <v>#N/A</v>
      </c>
      <c r="K53" s="37" t="e">
        <f t="shared" si="11"/>
        <v>#N/A</v>
      </c>
      <c r="L53" s="37" t="e">
        <f t="shared" si="11"/>
        <v>#N/A</v>
      </c>
      <c r="M53" s="37" t="e">
        <f t="shared" si="11"/>
        <v>#N/A</v>
      </c>
      <c r="N53" s="37" t="e">
        <f t="shared" si="11"/>
        <v>#N/A</v>
      </c>
      <c r="O53" s="37" t="e">
        <f t="shared" si="11"/>
        <v>#N/A</v>
      </c>
      <c r="P53" s="37" t="e">
        <f t="shared" si="11"/>
        <v>#N/A</v>
      </c>
      <c r="Q53" s="37" t="e">
        <f t="shared" si="11"/>
        <v>#N/A</v>
      </c>
      <c r="R53" s="37" t="e">
        <f t="shared" si="11"/>
        <v>#N/A</v>
      </c>
      <c r="S53" s="37" t="e">
        <f t="shared" si="11"/>
        <v>#N/A</v>
      </c>
    </row>
    <row r="54" spans="1:19" s="56" customFormat="1" ht="12.75" customHeight="1">
      <c r="A54" s="54"/>
      <c r="B54" s="55"/>
      <c r="C54" s="62"/>
      <c r="D54" s="76"/>
      <c r="E54" s="29"/>
      <c r="F54" s="29"/>
      <c r="G54" s="29"/>
      <c r="H54" s="65"/>
      <c r="I54" s="65"/>
      <c r="J54" s="65"/>
      <c r="K54" s="65"/>
      <c r="L54" s="65"/>
      <c r="M54" s="65"/>
      <c r="N54" s="65"/>
      <c r="O54" s="65"/>
      <c r="P54" s="65"/>
      <c r="Q54" s="65"/>
      <c r="R54" s="65"/>
      <c r="S54" s="65"/>
    </row>
    <row r="55" spans="1:19" s="56" customFormat="1" ht="12.75" customHeight="1">
      <c r="A55" s="54"/>
      <c r="B55" s="55"/>
      <c r="C55" s="77" t="s">
        <v>34</v>
      </c>
      <c r="D55" s="78" t="s">
        <v>18</v>
      </c>
      <c r="E55" s="66">
        <f t="shared" ref="E55:S55" si="12">E15</f>
        <v>0</v>
      </c>
      <c r="F55" s="66">
        <f t="shared" si="12"/>
        <v>1</v>
      </c>
      <c r="G55" s="66">
        <f t="shared" si="12"/>
        <v>2</v>
      </c>
      <c r="H55" s="66">
        <f t="shared" si="12"/>
        <v>3</v>
      </c>
      <c r="I55" s="66">
        <f t="shared" si="12"/>
        <v>4</v>
      </c>
      <c r="J55" s="66">
        <f t="shared" si="12"/>
        <v>5</v>
      </c>
      <c r="K55" s="66">
        <f t="shared" si="12"/>
        <v>6</v>
      </c>
      <c r="L55" s="66">
        <f t="shared" si="12"/>
        <v>7</v>
      </c>
      <c r="M55" s="66">
        <f t="shared" si="12"/>
        <v>8</v>
      </c>
      <c r="N55" s="66">
        <f t="shared" si="12"/>
        <v>9</v>
      </c>
      <c r="O55" s="66">
        <f t="shared" si="12"/>
        <v>10</v>
      </c>
      <c r="P55" s="66">
        <f t="shared" si="12"/>
        <v>11</v>
      </c>
      <c r="Q55" s="66">
        <f t="shared" si="12"/>
        <v>12</v>
      </c>
      <c r="R55" s="66">
        <f t="shared" si="12"/>
        <v>13</v>
      </c>
      <c r="S55" s="66">
        <f t="shared" si="12"/>
        <v>14</v>
      </c>
    </row>
    <row r="56" spans="1:19" s="56" customFormat="1" ht="12.75" customHeight="1">
      <c r="A56" s="54"/>
      <c r="B56" s="55"/>
      <c r="C56" s="77"/>
      <c r="D56" s="67" t="s">
        <v>70</v>
      </c>
      <c r="E56" s="68" t="s">
        <v>21</v>
      </c>
      <c r="F56" s="68" t="s">
        <v>22</v>
      </c>
      <c r="G56" s="68" t="s">
        <v>23</v>
      </c>
      <c r="H56" s="68" t="s">
        <v>24</v>
      </c>
      <c r="I56" s="68" t="s">
        <v>25</v>
      </c>
      <c r="J56" s="68" t="s">
        <v>26</v>
      </c>
      <c r="K56" s="68" t="s">
        <v>27</v>
      </c>
      <c r="L56" s="68" t="s">
        <v>28</v>
      </c>
      <c r="M56" s="68" t="s">
        <v>29</v>
      </c>
      <c r="N56" s="68" t="s">
        <v>30</v>
      </c>
      <c r="O56" s="68" t="s">
        <v>31</v>
      </c>
      <c r="P56" s="68" t="s">
        <v>63</v>
      </c>
      <c r="Q56" s="68" t="s">
        <v>64</v>
      </c>
      <c r="R56" s="68" t="s">
        <v>65</v>
      </c>
      <c r="S56" s="68" t="s">
        <v>66</v>
      </c>
    </row>
    <row r="57" spans="1:19" s="56" customFormat="1" ht="12.75" customHeight="1">
      <c r="A57" s="54"/>
      <c r="B57" s="55"/>
      <c r="C57" s="62" t="s">
        <v>19</v>
      </c>
      <c r="D57" s="68"/>
      <c r="E57" s="68"/>
      <c r="F57" s="68"/>
      <c r="G57" s="68"/>
      <c r="H57" s="68"/>
      <c r="I57" s="68"/>
      <c r="J57" s="68"/>
      <c r="K57" s="68"/>
      <c r="L57" s="68"/>
      <c r="M57" s="68"/>
      <c r="N57" s="68"/>
      <c r="O57" s="68"/>
      <c r="P57" s="68"/>
      <c r="Q57" s="68"/>
      <c r="R57" s="68"/>
      <c r="S57" s="68"/>
    </row>
    <row r="58" spans="1:19" s="56" customFormat="1" ht="12.75" customHeight="1">
      <c r="A58" s="54"/>
      <c r="B58" s="55"/>
      <c r="C58" s="73" t="s">
        <v>59</v>
      </c>
      <c r="D58" s="65"/>
      <c r="E58" s="65"/>
      <c r="F58" s="65"/>
      <c r="G58" s="65"/>
      <c r="H58" s="65"/>
      <c r="I58" s="65"/>
      <c r="J58" s="65"/>
      <c r="K58" s="65"/>
      <c r="L58" s="65"/>
      <c r="M58" s="65"/>
      <c r="N58" s="65"/>
      <c r="O58" s="65"/>
      <c r="P58" s="65"/>
      <c r="Q58" s="65"/>
      <c r="R58" s="65"/>
      <c r="S58" s="65"/>
    </row>
    <row r="59" spans="1:19" s="56" customFormat="1" ht="12.75" customHeight="1">
      <c r="A59" s="54"/>
      <c r="B59" s="55"/>
      <c r="C59" s="70" t="s">
        <v>57</v>
      </c>
      <c r="D59" s="79">
        <f>D47</f>
        <v>0</v>
      </c>
      <c r="E59" s="80">
        <f>E47/(1+$L$11)^1</f>
        <v>0</v>
      </c>
      <c r="F59" s="80">
        <f>F47/(1+$L$11)^2</f>
        <v>0</v>
      </c>
      <c r="G59" s="80">
        <f>G47/(1+$L$11)^3</f>
        <v>0</v>
      </c>
      <c r="H59" s="80">
        <f>H47/(1+$L$11)^4</f>
        <v>0</v>
      </c>
      <c r="I59" s="80">
        <f>I47/(1+$L$11)^5</f>
        <v>0</v>
      </c>
      <c r="J59" s="80">
        <f>J47/(1+$L$11)^6</f>
        <v>0</v>
      </c>
      <c r="K59" s="80">
        <f>K47/(1+$L$11)^7</f>
        <v>0</v>
      </c>
      <c r="L59" s="80">
        <f>L47/(1+$L$11)^8</f>
        <v>0</v>
      </c>
      <c r="M59" s="80">
        <f>M47/(1+$L$11)^9</f>
        <v>0</v>
      </c>
      <c r="N59" s="80">
        <f>N47/(1+$L$11)^10</f>
        <v>0</v>
      </c>
      <c r="O59" s="80">
        <f>O47/(1+$L$11)^11</f>
        <v>0</v>
      </c>
      <c r="P59" s="80">
        <f>P47/(1+$L$11)^12</f>
        <v>0</v>
      </c>
      <c r="Q59" s="80">
        <f>Q47/(1+$L$11)^13</f>
        <v>0</v>
      </c>
      <c r="R59" s="80">
        <f>R47/(1+$L$11)^14</f>
        <v>0</v>
      </c>
      <c r="S59" s="80">
        <f>S47/(1+$L$11)^15</f>
        <v>0</v>
      </c>
    </row>
    <row r="60" spans="1:19" s="56" customFormat="1" ht="12.75" customHeight="1">
      <c r="A60" s="54"/>
      <c r="B60" s="55"/>
      <c r="C60" s="75" t="s">
        <v>58</v>
      </c>
      <c r="D60" s="79">
        <f>D47</f>
        <v>0</v>
      </c>
      <c r="E60" s="80">
        <f>E48/(1+$L$11)^1</f>
        <v>0</v>
      </c>
      <c r="F60" s="80">
        <f>F48/(1+$L$11)^2</f>
        <v>0</v>
      </c>
      <c r="G60" s="80">
        <f>G48/(1+$L$11)^3</f>
        <v>0</v>
      </c>
      <c r="H60" s="80">
        <f>H48/(1+$L$11)^4</f>
        <v>0</v>
      </c>
      <c r="I60" s="80">
        <f>I48/(1+$L$11)^5</f>
        <v>0</v>
      </c>
      <c r="J60" s="80">
        <f>J48/(1+$L$11)^6</f>
        <v>0</v>
      </c>
      <c r="K60" s="80">
        <f>K48/(1+$L$11)^7</f>
        <v>0</v>
      </c>
      <c r="L60" s="80">
        <f>L48/(1+$L$11)^8</f>
        <v>0</v>
      </c>
      <c r="M60" s="80">
        <f>M48/(1+$L$11)^9</f>
        <v>0</v>
      </c>
      <c r="N60" s="80">
        <f>N48/(1+$L$11)^10</f>
        <v>0</v>
      </c>
      <c r="O60" s="80">
        <f>O48/(1+$L$11)^11</f>
        <v>0</v>
      </c>
      <c r="P60" s="80">
        <f>P48/(1+$L$11)^12</f>
        <v>0</v>
      </c>
      <c r="Q60" s="80">
        <f>Q48/(1+$L$11)^13</f>
        <v>0</v>
      </c>
      <c r="R60" s="80">
        <f>R48/(1+$L$11)^14</f>
        <v>0</v>
      </c>
      <c r="S60" s="80">
        <f>S48/(1+$L$11)^15</f>
        <v>0</v>
      </c>
    </row>
    <row r="61" spans="1:19" s="56" customFormat="1" ht="12.75" customHeight="1">
      <c r="A61" s="54"/>
      <c r="B61" s="55"/>
      <c r="C61" s="62"/>
      <c r="D61" s="79"/>
      <c r="E61" s="80"/>
      <c r="F61" s="80"/>
      <c r="G61" s="80"/>
      <c r="H61" s="80"/>
      <c r="I61" s="80"/>
      <c r="J61" s="80"/>
      <c r="K61" s="80"/>
      <c r="L61" s="80"/>
      <c r="M61" s="80"/>
      <c r="N61" s="80"/>
      <c r="O61" s="80"/>
      <c r="P61" s="80"/>
      <c r="Q61" s="80"/>
      <c r="R61" s="80"/>
      <c r="S61" s="80"/>
    </row>
    <row r="62" spans="1:19" s="56" customFormat="1" ht="12.75" customHeight="1">
      <c r="A62" s="54"/>
      <c r="B62" s="55"/>
      <c r="C62" s="73" t="s">
        <v>53</v>
      </c>
      <c r="D62" s="76"/>
      <c r="E62" s="29"/>
      <c r="F62" s="29"/>
      <c r="G62" s="29"/>
      <c r="H62" s="65"/>
      <c r="I62" s="65"/>
      <c r="J62" s="65"/>
      <c r="K62" s="65"/>
      <c r="L62" s="65"/>
      <c r="M62" s="65"/>
      <c r="N62" s="65"/>
      <c r="O62" s="65"/>
      <c r="P62" s="65"/>
      <c r="Q62" s="65"/>
      <c r="R62" s="65"/>
      <c r="S62" s="65"/>
    </row>
    <row r="63" spans="1:19" s="56" customFormat="1" ht="12.75" customHeight="1">
      <c r="A63" s="54"/>
      <c r="B63" s="55"/>
      <c r="C63" s="73" t="s">
        <v>60</v>
      </c>
      <c r="D63" s="76"/>
      <c r="E63" s="29"/>
      <c r="F63" s="29"/>
      <c r="G63" s="29"/>
      <c r="H63" s="65"/>
      <c r="I63" s="65"/>
      <c r="J63" s="65"/>
      <c r="K63" s="65"/>
      <c r="L63" s="65"/>
      <c r="M63" s="65"/>
      <c r="N63" s="65"/>
      <c r="O63" s="65"/>
      <c r="P63" s="65"/>
      <c r="Q63" s="65"/>
      <c r="R63" s="65"/>
      <c r="S63" s="65"/>
    </row>
    <row r="64" spans="1:19" s="56" customFormat="1" ht="12.75" customHeight="1">
      <c r="A64" s="54"/>
      <c r="B64" s="55"/>
      <c r="C64" s="70" t="s">
        <v>57</v>
      </c>
      <c r="D64" s="74">
        <f>IF(OR(D59&lt;0,D59&gt;0),D59,0)</f>
        <v>0</v>
      </c>
      <c r="E64" s="37" t="e">
        <f t="shared" ref="E64:S65" si="13">IF(OR(E59&lt;0,E59&gt;0),D64+E59,NA())</f>
        <v>#N/A</v>
      </c>
      <c r="F64" s="36" t="e">
        <f t="shared" si="13"/>
        <v>#N/A</v>
      </c>
      <c r="G64" s="36" t="e">
        <f t="shared" si="13"/>
        <v>#N/A</v>
      </c>
      <c r="H64" s="36" t="e">
        <f t="shared" si="13"/>
        <v>#N/A</v>
      </c>
      <c r="I64" s="36" t="e">
        <f t="shared" si="13"/>
        <v>#N/A</v>
      </c>
      <c r="J64" s="36" t="e">
        <f t="shared" si="13"/>
        <v>#N/A</v>
      </c>
      <c r="K64" s="36" t="e">
        <f t="shared" si="13"/>
        <v>#N/A</v>
      </c>
      <c r="L64" s="36" t="e">
        <f t="shared" si="13"/>
        <v>#N/A</v>
      </c>
      <c r="M64" s="36" t="e">
        <f t="shared" si="13"/>
        <v>#N/A</v>
      </c>
      <c r="N64" s="36" t="e">
        <f t="shared" si="13"/>
        <v>#N/A</v>
      </c>
      <c r="O64" s="36" t="e">
        <f t="shared" si="13"/>
        <v>#N/A</v>
      </c>
      <c r="P64" s="36" t="e">
        <f t="shared" si="13"/>
        <v>#N/A</v>
      </c>
      <c r="Q64" s="36" t="e">
        <f t="shared" si="13"/>
        <v>#N/A</v>
      </c>
      <c r="R64" s="36" t="e">
        <f t="shared" si="13"/>
        <v>#N/A</v>
      </c>
      <c r="S64" s="36" t="e">
        <f t="shared" si="13"/>
        <v>#N/A</v>
      </c>
    </row>
    <row r="65" spans="1:19" s="56" customFormat="1" ht="12.75" customHeight="1">
      <c r="A65" s="54"/>
      <c r="B65" s="55"/>
      <c r="C65" s="75" t="s">
        <v>58</v>
      </c>
      <c r="D65" s="74">
        <f>IF(OR(D60&lt;0,D60&gt;0),D60,0)</f>
        <v>0</v>
      </c>
      <c r="E65" s="37" t="e">
        <f t="shared" si="13"/>
        <v>#N/A</v>
      </c>
      <c r="F65" s="37" t="e">
        <f t="shared" si="13"/>
        <v>#N/A</v>
      </c>
      <c r="G65" s="37" t="e">
        <f t="shared" si="13"/>
        <v>#N/A</v>
      </c>
      <c r="H65" s="37" t="e">
        <f t="shared" si="13"/>
        <v>#N/A</v>
      </c>
      <c r="I65" s="37" t="e">
        <f t="shared" si="13"/>
        <v>#N/A</v>
      </c>
      <c r="J65" s="37" t="e">
        <f t="shared" si="13"/>
        <v>#N/A</v>
      </c>
      <c r="K65" s="37" t="e">
        <f t="shared" si="13"/>
        <v>#N/A</v>
      </c>
      <c r="L65" s="37" t="e">
        <f t="shared" si="13"/>
        <v>#N/A</v>
      </c>
      <c r="M65" s="37" t="e">
        <f t="shared" si="13"/>
        <v>#N/A</v>
      </c>
      <c r="N65" s="37" t="e">
        <f t="shared" si="13"/>
        <v>#N/A</v>
      </c>
      <c r="O65" s="37" t="e">
        <f t="shared" si="13"/>
        <v>#N/A</v>
      </c>
      <c r="P65" s="37" t="e">
        <f t="shared" si="13"/>
        <v>#N/A</v>
      </c>
      <c r="Q65" s="37" t="e">
        <f t="shared" si="13"/>
        <v>#N/A</v>
      </c>
      <c r="R65" s="37" t="e">
        <f t="shared" si="13"/>
        <v>#N/A</v>
      </c>
      <c r="S65" s="37" t="e">
        <f t="shared" si="13"/>
        <v>#N/A</v>
      </c>
    </row>
    <row r="66" spans="1:19" s="56" customFormat="1" ht="12.75" customHeight="1">
      <c r="A66" s="54"/>
      <c r="B66" s="55"/>
      <c r="C66" s="62"/>
      <c r="D66" s="62"/>
      <c r="E66" s="8"/>
      <c r="F66" s="8"/>
      <c r="G66" s="8"/>
    </row>
    <row r="67" spans="1:19" s="56" customFormat="1" ht="12.75" customHeight="1">
      <c r="A67" s="54"/>
      <c r="B67" s="55"/>
      <c r="C67" s="77" t="s">
        <v>40</v>
      </c>
      <c r="D67" s="62"/>
      <c r="E67" s="8"/>
      <c r="F67" s="8"/>
      <c r="G67" s="8"/>
    </row>
    <row r="68" spans="1:19" s="56" customFormat="1" ht="12.75" customHeight="1">
      <c r="A68" s="54"/>
      <c r="B68" s="55"/>
      <c r="C68" s="77"/>
      <c r="D68" s="62"/>
      <c r="E68" s="8"/>
      <c r="F68" s="8"/>
      <c r="G68" s="8"/>
    </row>
    <row r="69" spans="1:19" s="83" customFormat="1" ht="12.75" customHeight="1">
      <c r="A69" s="81"/>
      <c r="B69" s="82"/>
      <c r="C69" s="83" t="s">
        <v>45</v>
      </c>
      <c r="I69" s="83" t="s">
        <v>46</v>
      </c>
    </row>
    <row r="70" spans="1:19" s="56" customFormat="1" ht="12.75" customHeight="1">
      <c r="A70" s="54"/>
      <c r="B70" s="55"/>
      <c r="H70" s="83"/>
    </row>
    <row r="71" spans="1:19" s="56" customFormat="1" ht="12.75" customHeight="1">
      <c r="A71" s="54"/>
      <c r="B71" s="55"/>
      <c r="C71" s="114" t="s">
        <v>41</v>
      </c>
      <c r="D71" s="114"/>
      <c r="E71" s="114"/>
      <c r="F71" s="114"/>
      <c r="G71" s="84" t="e">
        <f>SUM(E47:S47)/L10</f>
        <v>#DIV/0!</v>
      </c>
      <c r="H71" s="83"/>
      <c r="I71" s="114" t="s">
        <v>47</v>
      </c>
      <c r="J71" s="114"/>
      <c r="K71" s="114"/>
      <c r="L71" s="114"/>
      <c r="M71" s="114"/>
      <c r="N71" s="114"/>
      <c r="O71" s="85">
        <f>NPV(L11,E47:S47)+D47</f>
        <v>0</v>
      </c>
      <c r="R71" s="86"/>
    </row>
    <row r="72" spans="1:19" s="56" customFormat="1" ht="12.75" customHeight="1">
      <c r="A72" s="54"/>
      <c r="B72" s="55"/>
      <c r="C72" s="87"/>
      <c r="D72" s="87"/>
      <c r="E72" s="87"/>
      <c r="F72" s="87"/>
      <c r="G72" s="88"/>
      <c r="H72" s="83"/>
      <c r="I72" s="89"/>
      <c r="J72" s="90"/>
      <c r="K72" s="90"/>
      <c r="L72" s="26"/>
      <c r="M72" s="87"/>
      <c r="N72" s="91"/>
      <c r="O72" s="28"/>
    </row>
    <row r="73" spans="1:19" s="56" customFormat="1" ht="12.75" customHeight="1">
      <c r="A73" s="54"/>
      <c r="B73" s="55"/>
      <c r="C73" s="114" t="s">
        <v>42</v>
      </c>
      <c r="D73" s="114"/>
      <c r="E73" s="114"/>
      <c r="F73" s="114"/>
      <c r="G73" s="92" t="e">
        <f>IRR(D47:S47)</f>
        <v>#NUM!</v>
      </c>
      <c r="H73" s="83"/>
      <c r="I73" s="114" t="s">
        <v>68</v>
      </c>
      <c r="J73" s="114"/>
      <c r="K73" s="114"/>
      <c r="L73" s="114"/>
      <c r="M73" s="114"/>
      <c r="N73" s="114"/>
      <c r="O73" s="28">
        <f>O71+F10</f>
        <v>0</v>
      </c>
    </row>
    <row r="74" spans="1:19" s="56" customFormat="1" ht="12.75" customHeight="1">
      <c r="A74" s="54"/>
      <c r="B74" s="55"/>
      <c r="C74" s="87"/>
      <c r="D74" s="87"/>
      <c r="E74" s="87"/>
      <c r="F74" s="87"/>
      <c r="G74" s="88"/>
      <c r="H74" s="83"/>
      <c r="I74" s="83"/>
      <c r="J74" s="83"/>
      <c r="K74" s="83"/>
      <c r="L74" s="83"/>
      <c r="M74" s="83"/>
    </row>
    <row r="75" spans="1:19" s="56" customFormat="1" ht="12.75" customHeight="1">
      <c r="A75" s="54"/>
      <c r="B75" s="55"/>
      <c r="C75" s="114" t="s">
        <v>43</v>
      </c>
      <c r="D75" s="114"/>
      <c r="E75" s="114"/>
      <c r="F75" s="114"/>
      <c r="G75" s="93" t="str">
        <f>IF(SUM($D$47:$E$47)&gt;0,1,IF(SUM($D$47:$F$47)&gt;0,2,IF(SUM($D$47:$G$47)&gt;0,3,IF(SUM($D$47:$H$47)&gt;0,4,IF(SUM($D$47:$I$47)&gt;0,5,IF(SUM($D$47:$J$47)&gt;0,6,IF(SUM($D$47:$K$47)&gt;0,7,IF(SUM($D$47:$L$47)&gt;0,8,IF(SUM($D$47:$M$47)&gt;0,9,IF(SUM($D$47:$N$47)&gt;0,10,IF(SUM($D$47:$O$47)&gt;0,11,IF(SUM($D$47:$P$47)&gt;0,12,IF(SUM($D$47:$Q$47)&gt;0,13,IF(SUM($D$47:$R$47)&gt;0,14,IF(SUM($D$47:$S$47)&gt;0,15,"&gt;15")))))))))))))))</f>
        <v>&gt;15</v>
      </c>
      <c r="H75" s="83"/>
      <c r="I75" s="83"/>
      <c r="J75" s="83"/>
      <c r="K75" s="83"/>
      <c r="L75" s="83"/>
      <c r="M75" s="83"/>
    </row>
    <row r="76" spans="1:19" s="56" customFormat="1" ht="12.75" customHeight="1">
      <c r="A76" s="54"/>
      <c r="B76" s="55"/>
      <c r="C76" s="87"/>
      <c r="D76" s="87"/>
      <c r="E76" s="87"/>
      <c r="F76" s="87"/>
      <c r="G76" s="88"/>
      <c r="H76" s="83"/>
      <c r="I76" s="83"/>
      <c r="J76" s="83"/>
      <c r="K76" s="83"/>
      <c r="L76" s="83"/>
      <c r="M76" s="83"/>
      <c r="R76" s="94"/>
    </row>
    <row r="77" spans="1:19" s="56" customFormat="1" ht="12.75" customHeight="1">
      <c r="A77" s="54"/>
      <c r="B77" s="55"/>
      <c r="C77" s="114" t="s">
        <v>44</v>
      </c>
      <c r="D77" s="114"/>
      <c r="E77" s="114"/>
      <c r="F77" s="114"/>
      <c r="G77" s="95" t="str">
        <f>IF(SUM($D$47:$E$47)&gt;0,E55,IF(SUM($D$47:$F$47)&gt;0,F55,IF(SUM($D$47:$G$47)&gt;0,G55,IF(SUM($D$47:$H$47)&gt;0,H55,IF(SUM($D$47:$I$47)&gt;0,I55,IF(SUM($D$47:$J$47)&gt;0,J55,IF(SUM($D$47:$K$47)&gt;0,K55,IF(SUM($D$47:$L$47)&gt;0,L55,IF(SUM($D$47:$M$47)&gt;0,M55,IF(SUM($D$47:$N$47)&gt;0,N55,IF(SUM($D$47:$O$47)&gt;0,O55,IF(SUM($D$47:$P$47)&gt;0,P55,IF(SUM($D$47:$Q$47)&gt;0,Q55,IF(SUM($D$47:$R$47)&gt;0,R55,IF(SUM($D$47:$S$47)&gt;0,S55,"&gt;"&amp;S55)))))))))))))))</f>
        <v>&gt;14</v>
      </c>
      <c r="H77" s="83"/>
      <c r="I77" s="83"/>
      <c r="J77" s="83"/>
      <c r="K77" s="83"/>
      <c r="L77" s="83"/>
      <c r="M77" s="83"/>
      <c r="R77" s="69"/>
    </row>
    <row r="78" spans="1:19" s="56" customFormat="1" ht="12.75" customHeight="1">
      <c r="A78" s="54"/>
      <c r="B78" s="55"/>
      <c r="F78" s="8"/>
      <c r="G78" s="8"/>
      <c r="H78" s="83"/>
      <c r="I78" s="83"/>
      <c r="J78" s="83"/>
      <c r="K78" s="83"/>
      <c r="L78" s="83"/>
      <c r="M78" s="83"/>
    </row>
    <row r="79" spans="1:19" s="56" customFormat="1" ht="12.75" customHeight="1">
      <c r="A79" s="54"/>
      <c r="B79" s="55"/>
      <c r="H79" s="83"/>
      <c r="I79" s="83"/>
      <c r="J79" s="83"/>
      <c r="K79" s="83"/>
      <c r="L79" s="83"/>
      <c r="M79" s="83"/>
    </row>
    <row r="80" spans="1:19" s="56" customFormat="1" ht="12.75" customHeight="1">
      <c r="A80" s="54"/>
      <c r="B80" s="55"/>
      <c r="H80" s="83"/>
      <c r="I80" s="83"/>
      <c r="J80" s="83"/>
      <c r="K80" s="83"/>
      <c r="L80" s="83"/>
      <c r="M80" s="83"/>
    </row>
    <row r="81" spans="1:13" s="56" customFormat="1" ht="12.75" customHeight="1">
      <c r="A81" s="54"/>
      <c r="B81" s="55"/>
      <c r="H81" s="83"/>
      <c r="I81" s="83"/>
      <c r="J81" s="83"/>
      <c r="K81" s="83"/>
      <c r="L81" s="83"/>
      <c r="M81" s="83"/>
    </row>
    <row r="82" spans="1:13" s="56" customFormat="1" ht="12.75" customHeight="1">
      <c r="A82" s="54"/>
      <c r="B82" s="55"/>
      <c r="H82" s="83"/>
      <c r="I82" s="83"/>
      <c r="J82" s="83"/>
      <c r="K82" s="83"/>
      <c r="L82" s="83"/>
      <c r="M82" s="83"/>
    </row>
    <row r="83" spans="1:13" s="56" customFormat="1" ht="12.75" customHeight="1">
      <c r="A83" s="54"/>
      <c r="B83" s="55"/>
      <c r="H83" s="83"/>
      <c r="I83" s="83"/>
      <c r="J83" s="83"/>
      <c r="K83" s="83"/>
      <c r="L83" s="83"/>
      <c r="M83" s="83"/>
    </row>
    <row r="84" spans="1:13" s="56" customFormat="1" ht="12.75" customHeight="1">
      <c r="A84" s="54"/>
      <c r="B84" s="55"/>
      <c r="H84" s="83"/>
      <c r="I84" s="83"/>
      <c r="J84" s="83"/>
      <c r="K84" s="83"/>
      <c r="L84" s="83"/>
      <c r="M84" s="83"/>
    </row>
    <row r="85" spans="1:13" s="56" customFormat="1" ht="12.75" customHeight="1">
      <c r="A85" s="54"/>
      <c r="B85" s="55"/>
      <c r="H85" s="83"/>
      <c r="I85" s="83"/>
      <c r="J85" s="83"/>
      <c r="K85" s="83"/>
      <c r="L85" s="83"/>
      <c r="M85" s="83"/>
    </row>
    <row r="86" spans="1:13" s="56" customFormat="1" ht="12.75" customHeight="1">
      <c r="A86" s="54"/>
      <c r="B86" s="55"/>
      <c r="H86" s="83"/>
      <c r="I86" s="83"/>
      <c r="J86" s="83"/>
      <c r="K86" s="83"/>
      <c r="L86" s="83"/>
      <c r="M86" s="83"/>
    </row>
    <row r="87" spans="1:13" s="56" customFormat="1" ht="12.75" customHeight="1">
      <c r="A87" s="54"/>
      <c r="B87" s="55"/>
      <c r="H87" s="83"/>
      <c r="I87" s="83"/>
      <c r="J87" s="83"/>
      <c r="K87" s="83"/>
      <c r="L87" s="83"/>
      <c r="M87" s="83"/>
    </row>
    <row r="88" spans="1:13" s="56" customFormat="1" ht="12.75" customHeight="1">
      <c r="A88" s="54"/>
      <c r="B88" s="55"/>
      <c r="H88" s="83"/>
      <c r="I88" s="83"/>
      <c r="J88" s="83"/>
      <c r="K88" s="83"/>
      <c r="L88" s="83"/>
      <c r="M88" s="83"/>
    </row>
    <row r="89" spans="1:13" s="56" customFormat="1" ht="12.75" customHeight="1">
      <c r="A89" s="54"/>
      <c r="B89" s="55"/>
      <c r="H89" s="83"/>
      <c r="I89" s="83"/>
      <c r="J89" s="83"/>
      <c r="K89" s="83"/>
      <c r="L89" s="83"/>
      <c r="M89" s="83"/>
    </row>
    <row r="90" spans="1:13" s="56" customFormat="1" ht="12.75" customHeight="1">
      <c r="A90" s="54"/>
      <c r="B90" s="55"/>
      <c r="H90" s="83"/>
      <c r="I90" s="83"/>
      <c r="J90" s="83"/>
      <c r="K90" s="83"/>
      <c r="L90" s="83"/>
      <c r="M90" s="83"/>
    </row>
    <row r="91" spans="1:13" s="56" customFormat="1" ht="12.75" customHeight="1">
      <c r="A91" s="54"/>
      <c r="B91" s="55"/>
      <c r="H91" s="83"/>
      <c r="I91" s="83"/>
      <c r="J91" s="83"/>
      <c r="K91" s="83"/>
      <c r="L91" s="83"/>
      <c r="M91" s="83"/>
    </row>
    <row r="92" spans="1:13" s="94" customFormat="1" ht="12.75" customHeight="1">
      <c r="A92" s="96"/>
      <c r="B92" s="97"/>
    </row>
    <row r="93" spans="1:13" s="94" customFormat="1" ht="12.75" customHeight="1">
      <c r="A93" s="96"/>
      <c r="B93" s="97"/>
    </row>
    <row r="94" spans="1:13" s="94" customFormat="1" ht="12.75" customHeight="1">
      <c r="A94" s="96"/>
      <c r="B94" s="97"/>
    </row>
    <row r="95" spans="1:13" s="94" customFormat="1" ht="12.75" customHeight="1">
      <c r="A95" s="96"/>
      <c r="B95" s="97"/>
      <c r="F95" s="6"/>
      <c r="G95" s="7"/>
    </row>
    <row r="96" spans="1:13" s="94" customFormat="1" ht="12.75" customHeight="1">
      <c r="A96" s="96"/>
      <c r="B96" s="97"/>
      <c r="F96" s="105"/>
      <c r="G96" s="105"/>
    </row>
    <row r="97" spans="1:13" s="94" customFormat="1" ht="12.75" customHeight="1">
      <c r="A97" s="96"/>
      <c r="B97" s="97"/>
      <c r="F97" s="105"/>
      <c r="G97" s="105"/>
    </row>
    <row r="98" spans="1:13" s="94" customFormat="1" ht="12.75" customHeight="1">
      <c r="A98" s="96"/>
      <c r="B98" s="97"/>
      <c r="F98" s="105"/>
      <c r="G98" s="105"/>
    </row>
    <row r="99" spans="1:13" s="94" customFormat="1" ht="12.75" customHeight="1">
      <c r="A99" s="96"/>
      <c r="B99" s="97"/>
      <c r="F99" s="1"/>
      <c r="G99" s="1"/>
    </row>
    <row r="100" spans="1:13" s="94" customFormat="1" ht="12.75" customHeight="1">
      <c r="A100" s="96"/>
      <c r="B100" s="97"/>
      <c r="F100" s="1"/>
      <c r="G100" s="1"/>
    </row>
    <row r="101" spans="1:13" s="94" customFormat="1" ht="12.75" customHeight="1">
      <c r="A101" s="96"/>
      <c r="B101" s="97"/>
      <c r="F101" s="1"/>
      <c r="G101" s="1"/>
    </row>
    <row r="102" spans="1:13" s="53" customFormat="1" ht="12.75" customHeight="1">
      <c r="A102" s="51"/>
      <c r="B102" s="52"/>
      <c r="C102" s="98"/>
      <c r="D102" s="98"/>
      <c r="E102" s="98"/>
      <c r="F102" s="1"/>
      <c r="G102" s="1"/>
      <c r="H102" s="94"/>
      <c r="I102" s="99"/>
      <c r="J102" s="99"/>
      <c r="K102" s="99"/>
      <c r="L102" s="99"/>
      <c r="M102" s="99"/>
    </row>
    <row r="103" spans="1:13" ht="12.75" customHeight="1">
      <c r="H103" s="99"/>
      <c r="I103" s="102"/>
      <c r="J103" s="94"/>
      <c r="K103" s="94"/>
      <c r="L103" s="103"/>
      <c r="M103" s="99"/>
    </row>
    <row r="104" spans="1:13" ht="12.75" customHeight="1">
      <c r="H104" s="99"/>
      <c r="I104" s="102"/>
      <c r="J104" s="94"/>
      <c r="K104" s="94"/>
      <c r="L104" s="103"/>
      <c r="M104" s="99"/>
    </row>
    <row r="105" spans="1:13" s="94" customFormat="1" ht="12.75" customHeight="1">
      <c r="A105" s="96"/>
      <c r="B105" s="104"/>
      <c r="C105" s="10" t="s">
        <v>62</v>
      </c>
      <c r="D105" s="10"/>
      <c r="E105" s="10"/>
      <c r="F105" s="11"/>
      <c r="G105" s="11"/>
      <c r="H105" s="18"/>
      <c r="I105" s="99"/>
      <c r="J105" s="99"/>
      <c r="K105" s="99"/>
      <c r="L105" s="99"/>
    </row>
    <row r="106" spans="1:13" s="94" customFormat="1" ht="12.75" customHeight="1">
      <c r="A106" s="96"/>
      <c r="B106" s="104"/>
      <c r="C106" s="27" t="s">
        <v>35</v>
      </c>
      <c r="D106" s="19"/>
      <c r="E106" s="4"/>
      <c r="F106" s="3"/>
      <c r="G106" s="3"/>
      <c r="H106" s="3"/>
      <c r="I106" s="99"/>
      <c r="J106" s="99"/>
      <c r="K106" s="99"/>
      <c r="L106" s="99"/>
    </row>
    <row r="107" spans="1:13" s="94" customFormat="1" ht="12.75" customHeight="1">
      <c r="A107" s="96"/>
      <c r="B107" s="104"/>
      <c r="C107" s="20" t="s">
        <v>36</v>
      </c>
      <c r="D107" s="20"/>
      <c r="E107" s="20"/>
      <c r="F107" s="3"/>
      <c r="G107" s="3"/>
      <c r="H107" s="3"/>
      <c r="I107" s="99"/>
      <c r="J107" s="99"/>
      <c r="K107" s="99"/>
      <c r="L107" s="99"/>
    </row>
    <row r="108" spans="1:13" s="94" customFormat="1" ht="12.75" customHeight="1">
      <c r="A108" s="96"/>
      <c r="B108" s="104"/>
      <c r="C108" s="5">
        <f ca="1">NOW()</f>
        <v>42773.644582986111</v>
      </c>
      <c r="D108" s="5"/>
      <c r="E108" s="5"/>
      <c r="F108" s="3"/>
      <c r="G108" s="3"/>
      <c r="H108" s="3"/>
      <c r="I108" s="99"/>
      <c r="J108" s="99"/>
      <c r="K108" s="99"/>
      <c r="L108" s="99"/>
    </row>
    <row r="109" spans="1:13" s="94" customFormat="1" ht="12.75" customHeight="1">
      <c r="A109" s="96"/>
      <c r="B109" s="104"/>
      <c r="C109" s="5"/>
      <c r="D109" s="5"/>
      <c r="E109" s="5"/>
      <c r="F109" s="3"/>
      <c r="G109" s="3"/>
      <c r="H109" s="3"/>
      <c r="I109" s="99"/>
      <c r="J109" s="99"/>
      <c r="K109" s="99"/>
      <c r="L109" s="99"/>
    </row>
    <row r="110" spans="1:13" s="94" customFormat="1" ht="12.75" customHeight="1">
      <c r="A110" s="96"/>
      <c r="B110" s="104"/>
      <c r="C110" s="6" t="s">
        <v>37</v>
      </c>
      <c r="D110" s="6"/>
      <c r="E110" s="6"/>
      <c r="F110" s="7"/>
      <c r="G110" s="7"/>
      <c r="H110" s="7"/>
      <c r="I110" s="99"/>
      <c r="J110" s="99"/>
      <c r="K110" s="99"/>
      <c r="L110" s="99"/>
    </row>
    <row r="111" spans="1:13" s="94" customFormat="1" ht="12.75" customHeight="1">
      <c r="A111" s="96"/>
      <c r="B111" s="104"/>
      <c r="C111" s="109" t="s">
        <v>69</v>
      </c>
      <c r="D111" s="109"/>
      <c r="E111" s="109"/>
      <c r="F111" s="109"/>
      <c r="G111" s="109"/>
      <c r="H111" s="109"/>
      <c r="I111" s="109"/>
      <c r="J111" s="109"/>
      <c r="K111" s="109"/>
      <c r="L111" s="109"/>
    </row>
    <row r="112" spans="1:13" s="94" customFormat="1" ht="12.75" customHeight="1">
      <c r="A112" s="96"/>
      <c r="B112" s="104"/>
      <c r="C112" s="109"/>
      <c r="D112" s="109"/>
      <c r="E112" s="109"/>
      <c r="F112" s="109"/>
      <c r="G112" s="109"/>
      <c r="H112" s="109"/>
      <c r="I112" s="109"/>
      <c r="J112" s="109"/>
      <c r="K112" s="109"/>
      <c r="L112" s="109"/>
    </row>
    <row r="113" spans="1:12" s="94" customFormat="1" ht="18" customHeight="1">
      <c r="A113" s="96"/>
      <c r="B113" s="104"/>
      <c r="C113" s="109"/>
      <c r="D113" s="109"/>
      <c r="E113" s="109"/>
      <c r="F113" s="109"/>
      <c r="G113" s="109"/>
      <c r="H113" s="109"/>
      <c r="I113" s="109"/>
      <c r="J113" s="109"/>
      <c r="K113" s="109"/>
      <c r="L113" s="109"/>
    </row>
  </sheetData>
  <sheetProtection sheet="1" objects="1" scenarios="1"/>
  <mergeCells count="10">
    <mergeCell ref="C75:F75"/>
    <mergeCell ref="C77:F77"/>
    <mergeCell ref="C111:L112"/>
    <mergeCell ref="C113:L113"/>
    <mergeCell ref="C5:F5"/>
    <mergeCell ref="C6:F6"/>
    <mergeCell ref="C71:F71"/>
    <mergeCell ref="I71:N71"/>
    <mergeCell ref="C73:F73"/>
    <mergeCell ref="I73:N73"/>
  </mergeCells>
  <conditionalFormatting sqref="E18:E30 E32:E34">
    <cfRule type="expression" dxfId="14" priority="2">
      <formula>$E$16="No"</formula>
    </cfRule>
  </conditionalFormatting>
  <conditionalFormatting sqref="F18:F34">
    <cfRule type="expression" dxfId="13" priority="1">
      <formula>$F$16="No"</formula>
    </cfRule>
  </conditionalFormatting>
  <conditionalFormatting sqref="G18:G34">
    <cfRule type="expression" dxfId="12" priority="13">
      <formula>$G$16="No"</formula>
    </cfRule>
  </conditionalFormatting>
  <conditionalFormatting sqref="H18:H34">
    <cfRule type="expression" dxfId="11" priority="12">
      <formula>$H$16="No"</formula>
    </cfRule>
  </conditionalFormatting>
  <conditionalFormatting sqref="I18:I34">
    <cfRule type="expression" dxfId="10" priority="11">
      <formula>$I$16="No"</formula>
    </cfRule>
  </conditionalFormatting>
  <conditionalFormatting sqref="J18:J34">
    <cfRule type="expression" dxfId="9" priority="10">
      <formula>$J$16="No"</formula>
    </cfRule>
  </conditionalFormatting>
  <conditionalFormatting sqref="K18:K34">
    <cfRule type="expression" dxfId="8" priority="9">
      <formula>$K$16="No"</formula>
    </cfRule>
  </conditionalFormatting>
  <conditionalFormatting sqref="L18:L34">
    <cfRule type="expression" dxfId="7" priority="8">
      <formula>$L$16="No"</formula>
    </cfRule>
  </conditionalFormatting>
  <conditionalFormatting sqref="M18:M34">
    <cfRule type="expression" dxfId="6" priority="7">
      <formula>$M$16="No"</formula>
    </cfRule>
  </conditionalFormatting>
  <conditionalFormatting sqref="N18:N34">
    <cfRule type="expression" dxfId="5" priority="6">
      <formula>$N$16="No"</formula>
    </cfRule>
  </conditionalFormatting>
  <conditionalFormatting sqref="O18:O34">
    <cfRule type="expression" dxfId="4" priority="5">
      <formula>$O$16="No"</formula>
    </cfRule>
  </conditionalFormatting>
  <conditionalFormatting sqref="P18:P34">
    <cfRule type="expression" dxfId="3" priority="4">
      <formula>$P$16="No"</formula>
    </cfRule>
  </conditionalFormatting>
  <conditionalFormatting sqref="Q18:Q34">
    <cfRule type="expression" dxfId="2" priority="3">
      <formula>$Q$16="No"</formula>
    </cfRule>
  </conditionalFormatting>
  <conditionalFormatting sqref="R18:R34">
    <cfRule type="expression" dxfId="1" priority="14">
      <formula>$R$16="No"</formula>
    </cfRule>
  </conditionalFormatting>
  <conditionalFormatting sqref="S18:S34">
    <cfRule type="expression" dxfId="0" priority="15">
      <formula>$S$16="No"</formula>
    </cfRule>
  </conditionalFormatting>
  <hyperlinks>
    <hyperlink ref="C106" r:id="rId1"/>
    <hyperlink ref="C3" r:id="rId2"/>
  </hyperlinks>
  <pageMargins left="0.7" right="0.7" top="0.75" bottom="0.75" header="0.3" footer="0.3"/>
  <pageSetup scale="68" fitToHeight="2" orientation="landscape" r:id="rId3"/>
  <headerFooter>
    <oddHeader>&amp;LIowa State University Extension and Outreach&amp;RAg Decision Maker File B1-74</oddHeader>
    <oddFooter>&amp;Lhttp://www.extension.iastate.edu/agdm/livestock/xls/b1-74netpresentvalueofbeefreplacementfemales.xlsx</oddFooter>
  </headerFooter>
  <rowBreaks count="1" manualBreakCount="1">
    <brk id="66" min="2" max="18"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Example</vt:lpstr>
      <vt:lpstr>Blank</vt:lpstr>
      <vt:lpstr>Blank!Print_Area</vt:lpstr>
      <vt:lpstr>Example!Print_Area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Schulz, Lee [ECON]</dc:creator>
  <cp:lastModifiedBy>Johanns, Ann M [ECONA]</cp:lastModifiedBy>
  <cp:lastPrinted>2017-02-07T16:30:07Z</cp:lastPrinted>
  <dcterms:created xsi:type="dcterms:W3CDTF">2012-08-02T15:27:30Z</dcterms:created>
  <dcterms:modified xsi:type="dcterms:W3CDTF">2017-02-07T21:28:15Z</dcterms:modified>
</cp:coreProperties>
</file>