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holste\Box Sync\AAnns Files\AgDM\2-17\"/>
    </mc:Choice>
  </mc:AlternateContent>
  <bookViews>
    <workbookView xWindow="0" yWindow="0" windowWidth="28800" windowHeight="12300"/>
  </bookViews>
  <sheets>
    <sheet name="Example" sheetId="4" r:id="rId1"/>
    <sheet name="Blank" sheetId="5" r:id="rId2"/>
  </sheets>
  <definedNames>
    <definedName name="_xlnm.Print_Area" localSheetId="1">Blank!$C$1:$S$152</definedName>
    <definedName name="_xlnm.Print_Area" localSheetId="0">Example!$C$1:$S$152</definedName>
  </definedNames>
  <calcPr calcId="152511"/>
</workbook>
</file>

<file path=xl/calcChain.xml><?xml version="1.0" encoding="utf-8"?>
<calcChain xmlns="http://schemas.openxmlformats.org/spreadsheetml/2006/main">
  <c r="C147" i="5" l="1"/>
  <c r="D55" i="5"/>
  <c r="E40" i="5"/>
  <c r="E17" i="5"/>
  <c r="F16" i="5" s="1"/>
  <c r="E16" i="5"/>
  <c r="E50" i="5" s="1"/>
  <c r="E15" i="5"/>
  <c r="E45" i="5" s="1"/>
  <c r="E12" i="5"/>
  <c r="E52" i="5" l="1"/>
  <c r="F50" i="5"/>
  <c r="F40" i="5"/>
  <c r="F17" i="5"/>
  <c r="G16" i="5" s="1"/>
  <c r="F52" i="5"/>
  <c r="E76" i="5"/>
  <c r="E63" i="5"/>
  <c r="F15" i="5"/>
  <c r="E18" i="5"/>
  <c r="D67" i="5"/>
  <c r="D56" i="5"/>
  <c r="D60" i="5"/>
  <c r="D61" i="5" s="1"/>
  <c r="E40" i="4"/>
  <c r="D55" i="4"/>
  <c r="E33" i="5" l="1"/>
  <c r="E43" i="5" s="1"/>
  <c r="E48" i="5" s="1"/>
  <c r="E55" i="5" s="1"/>
  <c r="D72" i="5"/>
  <c r="D73" i="5" s="1"/>
  <c r="D68" i="5"/>
  <c r="F76" i="5"/>
  <c r="F45" i="5"/>
  <c r="F63" i="5"/>
  <c r="G15" i="5"/>
  <c r="F18" i="5"/>
  <c r="G52" i="5"/>
  <c r="G17" i="5"/>
  <c r="H16" i="5" s="1"/>
  <c r="G40" i="5"/>
  <c r="G50" i="5"/>
  <c r="E12" i="4"/>
  <c r="E16" i="4"/>
  <c r="F33" i="5" l="1"/>
  <c r="F43" i="5" s="1"/>
  <c r="F48" i="5" s="1"/>
  <c r="F55" i="5" s="1"/>
  <c r="G18" i="5"/>
  <c r="G63" i="5"/>
  <c r="H15" i="5"/>
  <c r="G76" i="5"/>
  <c r="G45" i="5"/>
  <c r="H50" i="5"/>
  <c r="H17" i="5"/>
  <c r="I16" i="5" s="1"/>
  <c r="H52" i="5"/>
  <c r="H40" i="5"/>
  <c r="E67" i="5"/>
  <c r="E60" i="5"/>
  <c r="E61" i="5" s="1"/>
  <c r="E56" i="5"/>
  <c r="E17" i="4"/>
  <c r="D60" i="4"/>
  <c r="D61" i="4" s="1"/>
  <c r="D56" i="4"/>
  <c r="E52" i="4"/>
  <c r="E50" i="4"/>
  <c r="G33" i="5" l="1"/>
  <c r="G43" i="5" s="1"/>
  <c r="G48" i="5" s="1"/>
  <c r="G55" i="5" s="1"/>
  <c r="F60" i="5"/>
  <c r="F61" i="5" s="1"/>
  <c r="F56" i="5"/>
  <c r="F67" i="5"/>
  <c r="I52" i="5"/>
  <c r="I40" i="5"/>
  <c r="I17" i="5"/>
  <c r="J16" i="5" s="1"/>
  <c r="I50" i="5"/>
  <c r="H63" i="5"/>
  <c r="H45" i="5"/>
  <c r="H18" i="5"/>
  <c r="H76" i="5"/>
  <c r="I15" i="5"/>
  <c r="E72" i="5"/>
  <c r="E73" i="5" s="1"/>
  <c r="E68" i="5"/>
  <c r="E78" i="5"/>
  <c r="E77" i="5" s="1"/>
  <c r="F16" i="4"/>
  <c r="H33" i="5" l="1"/>
  <c r="H43" i="5" s="1"/>
  <c r="H48" i="5" s="1"/>
  <c r="H55" i="5" s="1"/>
  <c r="J50" i="5"/>
  <c r="J40" i="5"/>
  <c r="J52" i="5"/>
  <c r="J17" i="5"/>
  <c r="K16" i="5" s="1"/>
  <c r="G60" i="5"/>
  <c r="G61" i="5" s="1"/>
  <c r="G56" i="5"/>
  <c r="G67" i="5"/>
  <c r="F72" i="5"/>
  <c r="F73" i="5" s="1"/>
  <c r="F68" i="5"/>
  <c r="I76" i="5"/>
  <c r="J15" i="5"/>
  <c r="I45" i="5"/>
  <c r="I18" i="5"/>
  <c r="I63" i="5"/>
  <c r="F78" i="5"/>
  <c r="F77" i="5" s="1"/>
  <c r="F52" i="4"/>
  <c r="F40" i="4"/>
  <c r="F17" i="4"/>
  <c r="G16" i="4" s="1"/>
  <c r="F50" i="4"/>
  <c r="G72" i="5" l="1"/>
  <c r="G73" i="5" s="1"/>
  <c r="G68" i="5"/>
  <c r="I33" i="5"/>
  <c r="I43" i="5" s="1"/>
  <c r="I48" i="5" s="1"/>
  <c r="I55" i="5" s="1"/>
  <c r="H67" i="5"/>
  <c r="H56" i="5"/>
  <c r="H60" i="5"/>
  <c r="H61" i="5" s="1"/>
  <c r="G78" i="5"/>
  <c r="G77" i="5" s="1"/>
  <c r="J63" i="5"/>
  <c r="J76" i="5"/>
  <c r="J18" i="5"/>
  <c r="K15" i="5"/>
  <c r="J45" i="5"/>
  <c r="K52" i="5"/>
  <c r="K17" i="5"/>
  <c r="L16" i="5" s="1"/>
  <c r="K50" i="5"/>
  <c r="K40" i="5"/>
  <c r="G52" i="4"/>
  <c r="G17" i="4"/>
  <c r="H16" i="4" s="1"/>
  <c r="G50" i="4"/>
  <c r="L17" i="5" l="1"/>
  <c r="M16" i="5" s="1"/>
  <c r="L52" i="5"/>
  <c r="L40" i="5"/>
  <c r="H78" i="5"/>
  <c r="H77" i="5" s="1"/>
  <c r="I60" i="5"/>
  <c r="I61" i="5" s="1"/>
  <c r="I56" i="5"/>
  <c r="I67" i="5"/>
  <c r="J33" i="5"/>
  <c r="J43" i="5" s="1"/>
  <c r="J48" i="5" s="1"/>
  <c r="J55" i="5" s="1"/>
  <c r="K76" i="5"/>
  <c r="K45" i="5"/>
  <c r="L15" i="5"/>
  <c r="K63" i="5"/>
  <c r="K18" i="5"/>
  <c r="H72" i="5"/>
  <c r="H73" i="5" s="1"/>
  <c r="H68" i="5"/>
  <c r="H52" i="4"/>
  <c r="H17" i="4"/>
  <c r="I16" i="4" s="1"/>
  <c r="H50" i="4"/>
  <c r="K33" i="5" l="1"/>
  <c r="K43" i="5" s="1"/>
  <c r="K48" i="5" s="1"/>
  <c r="K55" i="5" s="1"/>
  <c r="I72" i="5"/>
  <c r="I73" i="5" s="1"/>
  <c r="I68" i="5"/>
  <c r="M17" i="5"/>
  <c r="N16" i="5" s="1"/>
  <c r="M52" i="5"/>
  <c r="M40" i="5"/>
  <c r="L63" i="5"/>
  <c r="L45" i="5"/>
  <c r="L18" i="5"/>
  <c r="L76" i="5"/>
  <c r="M15" i="5"/>
  <c r="J67" i="5"/>
  <c r="J60" i="5"/>
  <c r="J61" i="5" s="1"/>
  <c r="J56" i="5"/>
  <c r="L50" i="5"/>
  <c r="I78" i="5"/>
  <c r="I77" i="5" s="1"/>
  <c r="I52" i="4"/>
  <c r="I50" i="4"/>
  <c r="I17" i="4"/>
  <c r="J16" i="4" s="1"/>
  <c r="N40" i="5" l="1"/>
  <c r="N52" i="5"/>
  <c r="N17" i="5"/>
  <c r="O16" i="5" s="1"/>
  <c r="M76" i="5"/>
  <c r="M18" i="5"/>
  <c r="N15" i="5"/>
  <c r="M63" i="5"/>
  <c r="M45" i="5"/>
  <c r="M50" i="5"/>
  <c r="J72" i="5"/>
  <c r="J73" i="5" s="1"/>
  <c r="J68" i="5"/>
  <c r="J78" i="5"/>
  <c r="J77" i="5" s="1"/>
  <c r="K60" i="5"/>
  <c r="K61" i="5" s="1"/>
  <c r="K56" i="5"/>
  <c r="K67" i="5"/>
  <c r="K78" i="5"/>
  <c r="K77" i="5" s="1"/>
  <c r="L33" i="5"/>
  <c r="L43" i="5" s="1"/>
  <c r="L48" i="5" s="1"/>
  <c r="L55" i="5" s="1"/>
  <c r="J52" i="4"/>
  <c r="J50" i="4"/>
  <c r="J17" i="4"/>
  <c r="K16" i="4" s="1"/>
  <c r="M33" i="5" l="1"/>
  <c r="M43" i="5" s="1"/>
  <c r="M48" i="5" s="1"/>
  <c r="M55" i="5" s="1"/>
  <c r="N76" i="5"/>
  <c r="N45" i="5"/>
  <c r="N18" i="5"/>
  <c r="O15" i="5"/>
  <c r="N63" i="5"/>
  <c r="K72" i="5"/>
  <c r="K73" i="5" s="1"/>
  <c r="K68" i="5"/>
  <c r="N50" i="5"/>
  <c r="L67" i="5"/>
  <c r="L60" i="5"/>
  <c r="L61" i="5" s="1"/>
  <c r="L56" i="5"/>
  <c r="O52" i="5"/>
  <c r="O17" i="5"/>
  <c r="P16" i="5" s="1"/>
  <c r="O40" i="5"/>
  <c r="K52" i="4"/>
  <c r="K50" i="4"/>
  <c r="K17" i="4"/>
  <c r="L16" i="4" s="1"/>
  <c r="L72" i="5" l="1"/>
  <c r="L73" i="5" s="1"/>
  <c r="L68" i="5"/>
  <c r="L78" i="5"/>
  <c r="L77" i="5" s="1"/>
  <c r="O63" i="5"/>
  <c r="O76" i="5"/>
  <c r="O18" i="5"/>
  <c r="P15" i="5"/>
  <c r="O45" i="5"/>
  <c r="P52" i="5"/>
  <c r="P40" i="5"/>
  <c r="P17" i="5"/>
  <c r="Q16" i="5" s="1"/>
  <c r="O50" i="5"/>
  <c r="N33" i="5"/>
  <c r="N43" i="5" s="1"/>
  <c r="N48" i="5" s="1"/>
  <c r="N55" i="5" s="1"/>
  <c r="M67" i="5"/>
  <c r="M56" i="5"/>
  <c r="M60" i="5"/>
  <c r="M61" i="5" s="1"/>
  <c r="L17" i="4"/>
  <c r="M16" i="4" s="1"/>
  <c r="L52" i="4"/>
  <c r="C147" i="4"/>
  <c r="N60" i="5" l="1"/>
  <c r="N61" i="5" s="1"/>
  <c r="N56" i="5"/>
  <c r="N67" i="5"/>
  <c r="P63" i="5"/>
  <c r="P45" i="5"/>
  <c r="P18" i="5"/>
  <c r="P76" i="5"/>
  <c r="Q15" i="5"/>
  <c r="O33" i="5"/>
  <c r="O43" i="5" s="1"/>
  <c r="O48" i="5" s="1"/>
  <c r="O55" i="5" s="1"/>
  <c r="Q17" i="5"/>
  <c r="R16" i="5" s="1"/>
  <c r="Q52" i="5"/>
  <c r="Q40" i="5"/>
  <c r="M72" i="5"/>
  <c r="M73" i="5" s="1"/>
  <c r="M68" i="5"/>
  <c r="M78" i="5"/>
  <c r="M77" i="5" s="1"/>
  <c r="P50" i="5"/>
  <c r="M17" i="4"/>
  <c r="N16" i="4" s="1"/>
  <c r="M52" i="4"/>
  <c r="E15" i="4"/>
  <c r="E18" i="4" s="1"/>
  <c r="Q76" i="5" l="1"/>
  <c r="Q45" i="5"/>
  <c r="R15" i="5"/>
  <c r="Q63" i="5"/>
  <c r="Q18" i="5"/>
  <c r="O60" i="5"/>
  <c r="O61" i="5" s="1"/>
  <c r="O56" i="5"/>
  <c r="O67" i="5"/>
  <c r="N72" i="5"/>
  <c r="N73" i="5" s="1"/>
  <c r="N68" i="5"/>
  <c r="N78" i="5"/>
  <c r="N77" i="5" s="1"/>
  <c r="R40" i="5"/>
  <c r="R17" i="5"/>
  <c r="S16" i="5" s="1"/>
  <c r="R52" i="5"/>
  <c r="Q50" i="5"/>
  <c r="P77" i="5"/>
  <c r="P78" i="5"/>
  <c r="P33" i="5"/>
  <c r="P43" i="5" s="1"/>
  <c r="P48" i="5" s="1"/>
  <c r="P55" i="5" s="1"/>
  <c r="E33" i="4"/>
  <c r="E76" i="4"/>
  <c r="N17" i="4"/>
  <c r="O16" i="4" s="1"/>
  <c r="N52" i="4"/>
  <c r="E63" i="4"/>
  <c r="D67" i="4"/>
  <c r="E45" i="4"/>
  <c r="F15" i="4"/>
  <c r="R50" i="5" l="1"/>
  <c r="O72" i="5"/>
  <c r="O73" i="5" s="1"/>
  <c r="O68" i="5"/>
  <c r="O78" i="5"/>
  <c r="O77" i="5" s="1"/>
  <c r="R18" i="5"/>
  <c r="R63" i="5"/>
  <c r="R76" i="5"/>
  <c r="R45" i="5"/>
  <c r="S15" i="5"/>
  <c r="P67" i="5"/>
  <c r="P60" i="5"/>
  <c r="P61" i="5" s="1"/>
  <c r="P56" i="5"/>
  <c r="S52" i="5"/>
  <c r="S17" i="5"/>
  <c r="S50" i="5" s="1"/>
  <c r="S40" i="5"/>
  <c r="Q33" i="5"/>
  <c r="Q43" i="5" s="1"/>
  <c r="Q48" i="5" s="1"/>
  <c r="Q55" i="5" s="1"/>
  <c r="Q77" i="5"/>
  <c r="Q78" i="5"/>
  <c r="F76" i="4"/>
  <c r="F18" i="4"/>
  <c r="D72" i="4"/>
  <c r="D73" i="4" s="1"/>
  <c r="D68" i="4"/>
  <c r="O52" i="4"/>
  <c r="O40" i="4"/>
  <c r="O17" i="4"/>
  <c r="P16" i="4" s="1"/>
  <c r="G15" i="4"/>
  <c r="F45" i="4"/>
  <c r="F63" i="4"/>
  <c r="R77" i="5" l="1"/>
  <c r="R78" i="5"/>
  <c r="R33" i="5"/>
  <c r="R43" i="5" s="1"/>
  <c r="R48" i="5" s="1"/>
  <c r="R55" i="5" s="1"/>
  <c r="Q60" i="5"/>
  <c r="Q61" i="5" s="1"/>
  <c r="Q56" i="5"/>
  <c r="Q67" i="5"/>
  <c r="S76" i="5"/>
  <c r="S45" i="5"/>
  <c r="S18" i="5"/>
  <c r="S63" i="5"/>
  <c r="P72" i="5"/>
  <c r="P73" i="5" s="1"/>
  <c r="P68" i="5"/>
  <c r="F33" i="4"/>
  <c r="P17" i="4"/>
  <c r="Q16" i="4" s="1"/>
  <c r="P40" i="4"/>
  <c r="P52" i="4"/>
  <c r="G76" i="4"/>
  <c r="G18" i="4"/>
  <c r="E43" i="4"/>
  <c r="G45" i="4"/>
  <c r="H15" i="4"/>
  <c r="G63" i="4"/>
  <c r="F90" i="5" l="1"/>
  <c r="R67" i="5"/>
  <c r="R60" i="5"/>
  <c r="R61" i="5" s="1"/>
  <c r="R56" i="5"/>
  <c r="Q72" i="5"/>
  <c r="Q73" i="5" s="1"/>
  <c r="Q68" i="5"/>
  <c r="S78" i="5"/>
  <c r="S33" i="5"/>
  <c r="S43" i="5" s="1"/>
  <c r="S48" i="5" s="1"/>
  <c r="S55" i="5" s="1"/>
  <c r="F88" i="5" s="1"/>
  <c r="S77" i="5"/>
  <c r="G33" i="4"/>
  <c r="P50" i="4"/>
  <c r="Q17" i="4"/>
  <c r="R16" i="4" s="1"/>
  <c r="Q52" i="4"/>
  <c r="Q40" i="4"/>
  <c r="H76" i="4"/>
  <c r="H18" i="4"/>
  <c r="E48" i="4"/>
  <c r="E55" i="4" s="1"/>
  <c r="F43" i="4"/>
  <c r="F48" i="4" s="1"/>
  <c r="G40" i="4"/>
  <c r="H63" i="4"/>
  <c r="H45" i="4"/>
  <c r="I15" i="4"/>
  <c r="S60" i="5" l="1"/>
  <c r="S61" i="5" s="1"/>
  <c r="S56" i="5"/>
  <c r="S67" i="5"/>
  <c r="N86" i="5"/>
  <c r="O86" i="5" s="1"/>
  <c r="F84" i="5"/>
  <c r="R72" i="5"/>
  <c r="R73" i="5" s="1"/>
  <c r="R68" i="5"/>
  <c r="H33" i="4"/>
  <c r="Q50" i="4"/>
  <c r="R17" i="4"/>
  <c r="S16" i="4" s="1"/>
  <c r="R52" i="4"/>
  <c r="R40" i="4"/>
  <c r="E56" i="4"/>
  <c r="I76" i="4"/>
  <c r="I18" i="4"/>
  <c r="E67" i="4"/>
  <c r="G43" i="4"/>
  <c r="G48" i="4" s="1"/>
  <c r="E60" i="4"/>
  <c r="E61" i="4" s="1"/>
  <c r="F55" i="4"/>
  <c r="I63" i="4"/>
  <c r="J15" i="4"/>
  <c r="I45" i="4"/>
  <c r="S72" i="5" l="1"/>
  <c r="S73" i="5" s="1"/>
  <c r="S68" i="5"/>
  <c r="O84" i="5" s="1"/>
  <c r="N84" i="5"/>
  <c r="F86" i="5"/>
  <c r="G84" i="5"/>
  <c r="E78" i="4"/>
  <c r="E77" i="4" s="1"/>
  <c r="E68" i="4"/>
  <c r="I33" i="4"/>
  <c r="R50" i="4"/>
  <c r="S40" i="4"/>
  <c r="S17" i="4"/>
  <c r="S50" i="4" s="1"/>
  <c r="S52" i="4"/>
  <c r="J76" i="4"/>
  <c r="J18" i="4"/>
  <c r="E72" i="4"/>
  <c r="E73" i="4" s="1"/>
  <c r="F67" i="4"/>
  <c r="F68" i="4" s="1"/>
  <c r="F56" i="4"/>
  <c r="H40" i="4"/>
  <c r="F60" i="4"/>
  <c r="F61" i="4" s="1"/>
  <c r="G55" i="4"/>
  <c r="J63" i="4"/>
  <c r="K15" i="4"/>
  <c r="J45" i="4"/>
  <c r="F78" i="4" l="1"/>
  <c r="F77" i="4" s="1"/>
  <c r="J33" i="4"/>
  <c r="K76" i="4"/>
  <c r="K18" i="4"/>
  <c r="F72" i="4"/>
  <c r="F73" i="4" s="1"/>
  <c r="G56" i="4"/>
  <c r="H43" i="4"/>
  <c r="H48" i="4" s="1"/>
  <c r="H55" i="4" s="1"/>
  <c r="I40" i="4"/>
  <c r="G67" i="4"/>
  <c r="G60" i="4"/>
  <c r="G61" i="4" s="1"/>
  <c r="L15" i="4"/>
  <c r="K45" i="4"/>
  <c r="K63" i="4"/>
  <c r="G78" i="4" l="1"/>
  <c r="G77" i="4" s="1"/>
  <c r="K33" i="4"/>
  <c r="G68" i="4"/>
  <c r="H56" i="4"/>
  <c r="L76" i="4"/>
  <c r="L18" i="4"/>
  <c r="I43" i="4"/>
  <c r="I48" i="4" s="1"/>
  <c r="I55" i="4" s="1"/>
  <c r="G72" i="4"/>
  <c r="G73" i="4" s="1"/>
  <c r="J40" i="4"/>
  <c r="H67" i="4"/>
  <c r="H60" i="4"/>
  <c r="H61" i="4" s="1"/>
  <c r="M15" i="4"/>
  <c r="L63" i="4"/>
  <c r="L45" i="4"/>
  <c r="H78" i="4" l="1"/>
  <c r="H77" i="4" s="1"/>
  <c r="H68" i="4"/>
  <c r="L33" i="4"/>
  <c r="M76" i="4"/>
  <c r="M18" i="4"/>
  <c r="I56" i="4"/>
  <c r="J43" i="4"/>
  <c r="J48" i="4" s="1"/>
  <c r="J55" i="4" s="1"/>
  <c r="H72" i="4"/>
  <c r="H73" i="4" s="1"/>
  <c r="K40" i="4"/>
  <c r="I67" i="4"/>
  <c r="I60" i="4"/>
  <c r="I61" i="4" s="1"/>
  <c r="L50" i="4"/>
  <c r="M45" i="4"/>
  <c r="N15" i="4"/>
  <c r="M63" i="4"/>
  <c r="I78" i="4" l="1"/>
  <c r="I77" i="4" s="1"/>
  <c r="M33" i="4"/>
  <c r="N76" i="4"/>
  <c r="N18" i="4"/>
  <c r="I68" i="4"/>
  <c r="J67" i="4"/>
  <c r="J78" i="4" s="1"/>
  <c r="J56" i="4"/>
  <c r="K43" i="4"/>
  <c r="K48" i="4" s="1"/>
  <c r="K55" i="4" s="1"/>
  <c r="I72" i="4"/>
  <c r="I73" i="4" s="1"/>
  <c r="L43" i="4"/>
  <c r="L48" i="4" s="1"/>
  <c r="L40" i="4"/>
  <c r="J60" i="4"/>
  <c r="J61" i="4" s="1"/>
  <c r="M50" i="4"/>
  <c r="N45" i="4"/>
  <c r="N63" i="4"/>
  <c r="O15" i="4"/>
  <c r="P15" i="4" s="1"/>
  <c r="J77" i="4" l="1"/>
  <c r="N33" i="4"/>
  <c r="P45" i="4"/>
  <c r="P63" i="4"/>
  <c r="Q15" i="4"/>
  <c r="P76" i="4"/>
  <c r="P18" i="4"/>
  <c r="O76" i="4"/>
  <c r="O18" i="4"/>
  <c r="K56" i="4"/>
  <c r="J68" i="4"/>
  <c r="J72" i="4"/>
  <c r="J73" i="4" s="1"/>
  <c r="M40" i="4"/>
  <c r="M43" i="4"/>
  <c r="M48" i="4" s="1"/>
  <c r="N50" i="4"/>
  <c r="L55" i="4"/>
  <c r="K67" i="4"/>
  <c r="K60" i="4"/>
  <c r="K61" i="4" s="1"/>
  <c r="O45" i="4"/>
  <c r="O63" i="4"/>
  <c r="K78" i="4" l="1"/>
  <c r="K77" i="4" s="1"/>
  <c r="O33" i="4"/>
  <c r="P33" i="4"/>
  <c r="P43" i="4" s="1"/>
  <c r="P48" i="4" s="1"/>
  <c r="P55" i="4" s="1"/>
  <c r="P67" i="4" s="1"/>
  <c r="P68" i="4" s="1"/>
  <c r="Q45" i="4"/>
  <c r="Q63" i="4"/>
  <c r="R15" i="4"/>
  <c r="Q76" i="4"/>
  <c r="Q18" i="4"/>
  <c r="K68" i="4"/>
  <c r="L56" i="4"/>
  <c r="K72" i="4"/>
  <c r="K73" i="4" s="1"/>
  <c r="N40" i="4"/>
  <c r="L67" i="4"/>
  <c r="L78" i="4" s="1"/>
  <c r="L60" i="4"/>
  <c r="L61" i="4" s="1"/>
  <c r="N43" i="4"/>
  <c r="N48" i="4" s="1"/>
  <c r="M55" i="4"/>
  <c r="M56" i="4" s="1"/>
  <c r="O50" i="4"/>
  <c r="Q33" i="4" l="1"/>
  <c r="Q43" i="4" s="1"/>
  <c r="Q48" i="4" s="1"/>
  <c r="Q55" i="4" s="1"/>
  <c r="Q67" i="4" s="1"/>
  <c r="Q68" i="4" s="1"/>
  <c r="P56" i="4"/>
  <c r="L77" i="4"/>
  <c r="R18" i="4"/>
  <c r="S15" i="4"/>
  <c r="R76" i="4"/>
  <c r="R63" i="4"/>
  <c r="R45" i="4"/>
  <c r="L68" i="4"/>
  <c r="L72" i="4"/>
  <c r="L73" i="4" s="1"/>
  <c r="M60" i="4"/>
  <c r="M61" i="4" s="1"/>
  <c r="M67" i="4"/>
  <c r="N55" i="4"/>
  <c r="O43" i="4"/>
  <c r="O48" i="4" s="1"/>
  <c r="O55" i="4" s="1"/>
  <c r="Q56" i="4" l="1"/>
  <c r="M78" i="4"/>
  <c r="M77" i="4" s="1"/>
  <c r="R33" i="4"/>
  <c r="R43" i="4" s="1"/>
  <c r="R48" i="4" s="1"/>
  <c r="R55" i="4" s="1"/>
  <c r="R56" i="4" s="1"/>
  <c r="S18" i="4"/>
  <c r="S76" i="4"/>
  <c r="S63" i="4"/>
  <c r="S45" i="4"/>
  <c r="M68" i="4"/>
  <c r="N56" i="4"/>
  <c r="O56" i="4"/>
  <c r="M72" i="4"/>
  <c r="M73" i="4" s="1"/>
  <c r="N60" i="4"/>
  <c r="N61" i="4" s="1"/>
  <c r="N67" i="4"/>
  <c r="N78" i="4" s="1"/>
  <c r="O67" i="4"/>
  <c r="P78" i="4" l="1"/>
  <c r="Q78" i="4"/>
  <c r="Q77" i="4" s="1"/>
  <c r="N77" i="4"/>
  <c r="O78" i="4"/>
  <c r="O77" i="4" s="1"/>
  <c r="P77" i="4"/>
  <c r="S33" i="4"/>
  <c r="S43" i="4" s="1"/>
  <c r="S48" i="4" s="1"/>
  <c r="S55" i="4" s="1"/>
  <c r="S67" i="4" s="1"/>
  <c r="S68" i="4" s="1"/>
  <c r="R67" i="4"/>
  <c r="R68" i="4" s="1"/>
  <c r="O60" i="4"/>
  <c r="O68" i="4"/>
  <c r="N68" i="4"/>
  <c r="N72" i="4"/>
  <c r="N73" i="4" s="1"/>
  <c r="F88" i="4" l="1"/>
  <c r="F90" i="4"/>
  <c r="S78" i="4"/>
  <c r="S77" i="4" s="1"/>
  <c r="N86" i="4"/>
  <c r="O86" i="4" s="1"/>
  <c r="F84" i="4"/>
  <c r="R78" i="4"/>
  <c r="R77" i="4" s="1"/>
  <c r="S56" i="4"/>
  <c r="G84" i="4" s="1"/>
  <c r="F86" i="4"/>
  <c r="N84" i="4"/>
  <c r="O84" i="4"/>
  <c r="O61" i="4"/>
  <c r="P60" i="4"/>
  <c r="O72" i="4"/>
  <c r="P61" i="4" l="1"/>
  <c r="Q60" i="4"/>
  <c r="O73" i="4"/>
  <c r="P72" i="4"/>
  <c r="P73" i="4" l="1"/>
  <c r="Q72" i="4"/>
  <c r="Q61" i="4"/>
  <c r="R60" i="4"/>
  <c r="R61" i="4" l="1"/>
  <c r="S60" i="4"/>
  <c r="S61" i="4" s="1"/>
  <c r="Q73" i="4"/>
  <c r="R72" i="4"/>
  <c r="R73" i="4" l="1"/>
  <c r="S72" i="4"/>
  <c r="S73" i="4" s="1"/>
</calcChain>
</file>

<file path=xl/comments1.xml><?xml version="1.0" encoding="utf-8"?>
<comments xmlns="http://schemas.openxmlformats.org/spreadsheetml/2006/main">
  <authors>
    <author>Schulz, Lee [ECON]</author>
    <author>Gunn, Patrick</author>
  </authors>
  <commentList>
    <comment ref="C5" authorId="0" shapeId="0">
      <text>
        <r>
          <rPr>
            <sz val="10"/>
            <color indexed="81"/>
            <rFont val="Arial"/>
            <family val="2"/>
          </rPr>
          <t>Place the cursor over cells with red triangles to read comments.</t>
        </r>
      </text>
    </comment>
    <comment ref="E10" authorId="0" shapeId="0">
      <text>
        <r>
          <rPr>
            <sz val="10"/>
            <color indexed="81"/>
            <rFont val="Arial"/>
            <family val="2"/>
          </rPr>
          <t xml:space="preserve">Enter the purchase price of the replacement female. If the replacement female is being retained from within the herd, an opportunity cost is involved with retaining that female, thus, it is suggested that the market value of the female is entered here. </t>
        </r>
      </text>
    </comment>
    <comment ref="I10" authorId="0" shapeId="0">
      <text>
        <r>
          <rPr>
            <sz val="10"/>
            <color indexed="81"/>
            <rFont val="Arial"/>
            <family val="2"/>
          </rPr>
          <t>Enter the year the replacement female is purchased or enters your development program (i.e., year weaned).</t>
        </r>
      </text>
    </comment>
    <comment ref="O10" authorId="0" shapeId="0">
      <text>
        <r>
          <rPr>
            <sz val="10"/>
            <color indexed="81"/>
            <rFont val="Arial"/>
            <family val="2"/>
          </rPr>
          <t>Enter the number of years you expect this 
group of replacements to have some remaining 
females in the herd producing a calf.</t>
        </r>
      </text>
    </comment>
    <comment ref="E11" authorId="0" shapeId="0">
      <text>
        <r>
          <rPr>
            <sz val="10"/>
            <color indexed="81"/>
            <rFont val="Arial"/>
            <family val="2"/>
          </rPr>
          <t>Enter the number of females to be purchased.</t>
        </r>
      </text>
    </comment>
    <comment ref="I11" authorId="0" shapeId="0">
      <text>
        <r>
          <rPr>
            <sz val="10"/>
            <color indexed="81"/>
            <rFont val="Arial"/>
            <family val="2"/>
          </rPr>
          <t>Enter the first year a calf will be sold.</t>
        </r>
      </text>
    </comment>
    <comment ref="O11" authorId="0" shapeId="0">
      <text>
        <r>
          <rPr>
            <sz val="10"/>
            <color indexed="81"/>
            <rFont val="Arial"/>
            <family val="2"/>
          </rPr>
          <t>Enter a desired rate of return (typically suggest to enter 
a value comparable to interest rates on operating loans). 
A value higher than the loan rate is justified if risk is high.
The discount rate is best thought of as an opportunity cost.  
It is the minimum rate of return the investor is willing to take 
to accept the risk associated with the investment.
If you have a targeted rate of return for investing in replacement 
females, enter that as the discount rate.</t>
        </r>
      </text>
    </comment>
    <comment ref="C17" authorId="1" shapeId="0">
      <text>
        <r>
          <rPr>
            <sz val="10"/>
            <color indexed="81"/>
            <rFont val="Arial"/>
            <family val="2"/>
          </rPr>
          <t>Based on cow cull rate and death loss 
of previous year (automatically calculated).</t>
        </r>
      </text>
    </comment>
    <comment ref="C18" authorId="1" shapeId="0">
      <text>
        <r>
          <rPr>
            <sz val="10"/>
            <color indexed="81"/>
            <rFont val="Arial"/>
            <family val="2"/>
          </rPr>
          <t>Determined from expected calving opportunities.</t>
        </r>
      </text>
    </comment>
    <comment ref="C20" authorId="0" shapeId="0">
      <text>
        <r>
          <rPr>
            <sz val="10"/>
            <color indexed="81"/>
            <rFont val="Arial"/>
            <family val="2"/>
          </rPr>
          <t>Enter the annual death loss on cows as a percent.</t>
        </r>
      </text>
    </comment>
    <comment ref="C21" authorId="0" shapeId="0">
      <text>
        <r>
          <rPr>
            <sz val="10"/>
            <color indexed="81"/>
            <rFont val="Arial"/>
            <family val="2"/>
          </rPr>
          <t>Enter the percent of cows that are culled annually for (e.g., open, ornery, 
thriftiness, production output, etc.). In most herds this is between 10% 
and 20% with the majority of culls being a result of an open diagnosis 
at pregnancy check.  
In this example, cull rate is increased during the first year of production, 
as an open diagnosis is typically more frequent in first-calf females.</t>
        </r>
      </text>
    </comment>
    <comment ref="C22" authorId="0" shapeId="0">
      <text>
        <r>
          <rPr>
            <sz val="10"/>
            <color indexed="81"/>
            <rFont val="Arial"/>
            <family val="2"/>
          </rPr>
          <t>Enter the percent of calves that are marketable (1 - death loss) 
annually. For example, if assuming a 1% post-natal death loss, enter 99%.
This model assumes that there is a 50/50 chance in any year that 
the cow will produce a steer or a heifer calf to be marketed.</t>
        </r>
      </text>
    </comment>
    <comment ref="C24" authorId="0" shapeId="0">
      <text>
        <r>
          <rPr>
            <sz val="10"/>
            <color indexed="81"/>
            <rFont val="Arial"/>
            <family val="2"/>
          </rPr>
          <t xml:space="preserve">Enter the expected weaning weights of steer calves that you expect 
these beef replacement females to produce over their production life.
In this example, calf weights follow a bell-curve pattern as young cows 
have not yet maximized milk production and older cows tend to taper 
in their overall productivity. </t>
        </r>
      </text>
    </comment>
    <comment ref="C25" authorId="0" shapeId="0">
      <text>
        <r>
          <rPr>
            <sz val="10"/>
            <color indexed="81"/>
            <rFont val="Arial"/>
            <family val="2"/>
          </rPr>
          <t>Enter the expected steer calf prices in dollars 
per hundredweight and net of marketing costs.
Example prices are projected calf prices based 
on a combination of USDA, FAPRI, and LMIC 
projections (Updated 01/26/2016).</t>
        </r>
      </text>
    </comment>
    <comment ref="C27" authorId="0" shapeId="0">
      <text>
        <r>
          <rPr>
            <sz val="10"/>
            <color indexed="81"/>
            <rFont val="Arial"/>
            <family val="2"/>
          </rPr>
          <t xml:space="preserve">Enter the expected weaning weights of heifer calves that you expect 
these beef replacement females to produce over their production life.
In this example, calf weights follow a bell-curve pattern as young cows 
have not yet maximized milk production and older cows tend to taper 
in their overall productivity. </t>
        </r>
      </text>
    </comment>
    <comment ref="C28" authorId="0" shapeId="0">
      <text>
        <r>
          <rPr>
            <sz val="10"/>
            <color indexed="81"/>
            <rFont val="Arial"/>
            <family val="2"/>
          </rPr>
          <t>Enter the expected heifer calf prices in dollars per 
hundredweight and net of marketing costs.
Example prices are projected calf prices based on 
a combination of USDA, FAPRI, and LMIC 
projections (Updated 01/26/2016).</t>
        </r>
      </text>
    </comment>
    <comment ref="C30" authorId="0" shapeId="0">
      <text>
        <r>
          <rPr>
            <sz val="10"/>
            <color indexed="81"/>
            <rFont val="Arial"/>
            <family val="2"/>
          </rPr>
          <t>Enter the weight of cows when they are culled.  
In this example, we assume mature weight of this 
herd is 1325 lbs. However, cull weights will likely 
be lesser for young and old cows. Specifically, 
young cows typically do not attain full mature 
weight until 3+ years of age and older cull cows 
(presumably culled as a result of being open) are 
likely of lesser weight due to body condition.</t>
        </r>
      </text>
    </comment>
    <comment ref="C31" authorId="0" shapeId="0">
      <text>
        <r>
          <rPr>
            <sz val="10"/>
            <color indexed="81"/>
            <rFont val="Arial"/>
            <family val="2"/>
          </rPr>
          <t>Enter the expected cull cow price in dollars 
per hundredweight and net of marketing 
costs when they are culled.</t>
        </r>
      </text>
    </comment>
    <comment ref="C35" authorId="0" shapeId="0">
      <text>
        <r>
          <rPr>
            <sz val="10"/>
            <color indexed="81"/>
            <rFont val="Arial"/>
            <family val="2"/>
          </rPr>
          <t>Enter the annual cow costs per cow. If replacement female is 
being retained from within the herd enter 0 in the years in 
which heifer development costs are being incurred.  
In this example, annual cow costs are figured for 10 months in 
the first and last year of production assuming that bred heifers 
are purchased in February and cull cows are sold in October.
Ag Decision Maker B1-21 (Apr 2015 Beef Cow-Calf)
Approximate costs
  $822 -- Total of all costs
  $638 -- Total variable costs</t>
        </r>
      </text>
    </comment>
    <comment ref="C38" authorId="0" shapeId="0">
      <text>
        <r>
          <rPr>
            <sz val="10"/>
            <color indexed="81"/>
            <rFont val="Arial"/>
            <family val="2"/>
          </rPr>
          <t>Enter the annual heifer development costs per heifer if replacement 
females are being retained from within the herd or purchased as 
calves or yearlings.  
Ag Decision Maker B1-73 
(Jan 2014 Raising Versus Buying Heifers for Beef Cow Replacement)
Approximate costs
  $1,063 -- Total of all costs
    $840 -- Total variable costs</t>
        </r>
      </text>
    </comment>
    <comment ref="C52" authorId="0" shapeId="0">
      <text>
        <r>
          <rPr>
            <sz val="10"/>
            <color indexed="81"/>
            <rFont val="Arial"/>
            <family val="2"/>
          </rPr>
          <t>Cull value of remaining females after culls.</t>
        </r>
      </text>
    </comment>
    <comment ref="C77" authorId="0" shapeId="0">
      <text>
        <r>
          <rPr>
            <sz val="10"/>
            <color indexed="81"/>
            <rFont val="Arial"/>
            <family val="2"/>
          </rPr>
          <t>The max bid price reflects the amount that could be paid for a lot of 
replacement females such that the rate of return from the investment 
would be exactly equal to the discount rate given all the input variables 
used in the analysis.
This is the bid price that results in the net present value equal to zero.</t>
        </r>
      </text>
    </comment>
    <comment ref="C78" authorId="0" shapeId="0">
      <text>
        <r>
          <rPr>
            <sz val="10"/>
            <color indexed="81"/>
            <rFont val="Arial"/>
            <family val="2"/>
          </rPr>
          <t>The max bid price reflects the amount that could be paid for a replacement 
female such that the rate of return from the investment would be exactly equal 
to the discount rate given all the input variables used in the analysis.
This is the bid price that results in the net present value equal to zero.</t>
        </r>
      </text>
    </comment>
    <comment ref="C84" authorId="0" shapeId="0">
      <text>
        <r>
          <rPr>
            <sz val="10"/>
            <color indexed="81"/>
            <rFont val="Arial"/>
            <family val="2"/>
          </rPr>
          <t>Annual pre-tax cash flows divided by life of the investment.</t>
        </r>
      </text>
    </comment>
    <comment ref="I84" authorId="0" shapeId="0">
      <text>
        <r>
          <rPr>
            <sz val="10"/>
            <color indexed="81"/>
            <rFont val="Arial"/>
            <family val="2"/>
          </rPr>
          <t>Present value of annual pre-tax cash 
flows divided by life of the investment.</t>
        </r>
      </text>
    </comment>
    <comment ref="C86" authorId="0" shapeId="0">
      <text>
        <r>
          <rPr>
            <sz val="10"/>
            <color indexed="81"/>
            <rFont val="Arial"/>
            <family val="2"/>
          </rPr>
          <t>Internal rate of return (IRR) is a measure of the 
return on investment and takes into account the 
timing and magnitude of future cash flows.</t>
        </r>
      </text>
    </comment>
    <comment ref="I86" authorId="0" shapeId="0">
      <text>
        <r>
          <rPr>
            <sz val="10"/>
            <color indexed="81"/>
            <rFont val="Arial"/>
            <family val="2"/>
          </rPr>
          <t xml:space="preserve">If NPV is positive, the investment is acceptable because the rate of return on future 
earnings is at least as great as the investors' required rate to accept risk (i.e., discount 
rate). If NPV is negative, the rate of return is less than the discount rate and the investment 
is unacceptable. If NPV is zero, the rate of return on the investment equals the discount rate.
Think of it this way: If the NPV is $100, the investment in the replacement female returned 
the minimum rate PLUS $100. If the NPV is -$100 the investment in the replacement female 
returned -$100 LESS than the investor's minimum earnings. </t>
        </r>
      </text>
    </comment>
    <comment ref="C88" authorId="0" shapeId="0">
      <text>
        <r>
          <rPr>
            <sz val="10"/>
            <color indexed="81"/>
            <rFont val="Arial"/>
            <family val="2"/>
          </rPr>
          <t>Years until cumulative value of annual 
pre-tax cash flows exceeds zero.</t>
        </r>
      </text>
    </comment>
    <comment ref="C90" authorId="0" shapeId="0">
      <text>
        <r>
          <rPr>
            <sz val="10"/>
            <color indexed="81"/>
            <rFont val="Arial"/>
            <family val="2"/>
          </rPr>
          <t>Year in which cumulative value of annual 
pre-tax cash flows exceeds zero.</t>
        </r>
      </text>
    </comment>
  </commentList>
</comments>
</file>

<file path=xl/comments2.xml><?xml version="1.0" encoding="utf-8"?>
<comments xmlns="http://schemas.openxmlformats.org/spreadsheetml/2006/main">
  <authors>
    <author>Schulz, Lee [ECON]</author>
    <author>Gunn, Patrick</author>
  </authors>
  <commentList>
    <comment ref="C5" authorId="0" shapeId="0">
      <text>
        <r>
          <rPr>
            <sz val="10"/>
            <color indexed="81"/>
            <rFont val="Arial"/>
            <family val="2"/>
          </rPr>
          <t>Place the cursor over cells with red triangles to read comments.</t>
        </r>
      </text>
    </comment>
    <comment ref="E10" authorId="0" shapeId="0">
      <text>
        <r>
          <rPr>
            <sz val="10"/>
            <color indexed="81"/>
            <rFont val="Arial"/>
            <family val="2"/>
          </rPr>
          <t xml:space="preserve">Enter the purchase price of the replacement female. If the replacement female is being retained from within the herd, an opportunity cost is involved with retaining that female, thus, it is suggested that the market value of the female is entered here. </t>
        </r>
      </text>
    </comment>
    <comment ref="I10" authorId="0" shapeId="0">
      <text>
        <r>
          <rPr>
            <sz val="10"/>
            <color indexed="81"/>
            <rFont val="Arial"/>
            <family val="2"/>
          </rPr>
          <t>Enter the year the replacement female is purchased or enters your development program (i.e., year weaned).</t>
        </r>
      </text>
    </comment>
    <comment ref="O10" authorId="0" shapeId="0">
      <text>
        <r>
          <rPr>
            <sz val="10"/>
            <color indexed="81"/>
            <rFont val="Arial"/>
            <family val="2"/>
          </rPr>
          <t>Enter the number of years you expect this 
group of replacements to have some remaining 
females in the herd producing a calf.</t>
        </r>
      </text>
    </comment>
    <comment ref="E11" authorId="0" shapeId="0">
      <text>
        <r>
          <rPr>
            <sz val="10"/>
            <color indexed="81"/>
            <rFont val="Arial"/>
            <family val="2"/>
          </rPr>
          <t>Enter the number of females to be purchased.</t>
        </r>
      </text>
    </comment>
    <comment ref="I11" authorId="0" shapeId="0">
      <text>
        <r>
          <rPr>
            <sz val="10"/>
            <color indexed="81"/>
            <rFont val="Arial"/>
            <family val="2"/>
          </rPr>
          <t>Enter the first year a calf will be sold.</t>
        </r>
      </text>
    </comment>
    <comment ref="O11" authorId="0" shapeId="0">
      <text>
        <r>
          <rPr>
            <sz val="10"/>
            <color indexed="81"/>
            <rFont val="Arial"/>
            <family val="2"/>
          </rPr>
          <t>Enter a desired rate of return (typically suggest to enter 
a value comparable to interest rates on operating loans). 
A value higher than the loan rate is justified if risk is high.
The discount rate is best thought of as an opportunity cost.  
It is the minimum rate of return the investor is willing to take 
to accept the risk associated with the investment.
If you have a targeted rate of return for investing in replacement 
females, enter that as the discount rate.</t>
        </r>
      </text>
    </comment>
    <comment ref="C17" authorId="1" shapeId="0">
      <text>
        <r>
          <rPr>
            <sz val="10"/>
            <color indexed="81"/>
            <rFont val="Arial"/>
            <family val="2"/>
          </rPr>
          <t>Based on cow cull rate and death loss 
of previous year (automatically calculated).</t>
        </r>
      </text>
    </comment>
    <comment ref="C18" authorId="1" shapeId="0">
      <text>
        <r>
          <rPr>
            <sz val="10"/>
            <color indexed="81"/>
            <rFont val="Arial"/>
            <family val="2"/>
          </rPr>
          <t>Determined from expected calving opportunities.</t>
        </r>
      </text>
    </comment>
    <comment ref="C20" authorId="0" shapeId="0">
      <text>
        <r>
          <rPr>
            <sz val="10"/>
            <color indexed="81"/>
            <rFont val="Arial"/>
            <family val="2"/>
          </rPr>
          <t>Enter the annual death loss on cows as a percent.</t>
        </r>
      </text>
    </comment>
    <comment ref="C21" authorId="0" shapeId="0">
      <text>
        <r>
          <rPr>
            <sz val="10"/>
            <color indexed="81"/>
            <rFont val="Arial"/>
            <family val="2"/>
          </rPr>
          <t>Enter the percent of cows that are culled annually for (e.g., open, ornery, 
thriftiness, production output, etc.). In most herds this is between 10% 
and 20% with the majority of culls being a result of an open diagnosis 
at pregnancy check.  
In this example, cull rate is increased during the first year of production, 
as an open diagnosis is typically more frequent in first-calf females.</t>
        </r>
      </text>
    </comment>
    <comment ref="C22" authorId="0" shapeId="0">
      <text>
        <r>
          <rPr>
            <sz val="10"/>
            <color indexed="81"/>
            <rFont val="Arial"/>
            <family val="2"/>
          </rPr>
          <t>Enter the percent of calves that are marketable (1 - death loss) 
annually. For example, if assuming a 1% post-natal death loss, enter 99%.
This model assumes that there is a 50/50 chance in any year that 
the cow will produce a steer or a heifer calf to be marketed.</t>
        </r>
      </text>
    </comment>
    <comment ref="C24" authorId="0" shapeId="0">
      <text>
        <r>
          <rPr>
            <sz val="10"/>
            <color indexed="81"/>
            <rFont val="Arial"/>
            <family val="2"/>
          </rPr>
          <t xml:space="preserve">Enter the expected weaning weights of steer calves that you expect 
these beef replacement females to produce over their production life.
In this example, calf weights follow a bell-curve pattern as young cows 
have not yet maximized milk production and older cows tend to taper 
in their overall productivity. </t>
        </r>
      </text>
    </comment>
    <comment ref="C25" authorId="0" shapeId="0">
      <text>
        <r>
          <rPr>
            <sz val="10"/>
            <color indexed="81"/>
            <rFont val="Arial"/>
            <family val="2"/>
          </rPr>
          <t>Enter the expected steer calf prices in dollars 
per hundredweight and net of marketing costs.
Example prices are projected calf prices based 
on a combination of USDA, FAPRI, and LMIC 
projections (Updated 01/26/2016).</t>
        </r>
      </text>
    </comment>
    <comment ref="C27" authorId="0" shapeId="0">
      <text>
        <r>
          <rPr>
            <sz val="10"/>
            <color indexed="81"/>
            <rFont val="Arial"/>
            <family val="2"/>
          </rPr>
          <t xml:space="preserve">Enter the expected weaning weights of heifer calves that you expect 
these beef replacement females to produce over their production life.
In this example, calf weights follow a bell-curve pattern as young cows 
have not yet maximized milk production and older cows tend to taper 
in their overall productivity. </t>
        </r>
      </text>
    </comment>
    <comment ref="C28" authorId="0" shapeId="0">
      <text>
        <r>
          <rPr>
            <sz val="10"/>
            <color indexed="81"/>
            <rFont val="Arial"/>
            <family val="2"/>
          </rPr>
          <t>Enter the expected heifer calf prices in dollars per 
hundredweight and net of marketing costs.
Example prices are projected calf prices based on 
a combination of USDA, FAPRI, and LMIC 
projections (Updated 01/26/2016).</t>
        </r>
      </text>
    </comment>
    <comment ref="C30" authorId="0" shapeId="0">
      <text>
        <r>
          <rPr>
            <sz val="10"/>
            <color indexed="81"/>
            <rFont val="Arial"/>
            <family val="2"/>
          </rPr>
          <t>Enter the weight of cows when they are culled.  
In this example, we assume mature weight of this 
herd is 1325 lbs. However, cull weights will likely 
be lesser for young and old cows. Specifically, 
young cows typically do not attain full mature 
weight until 3+ years of age and older cull cows 
(presumably culled as a result of being open) are 
likely of lesser weight due to body condition.</t>
        </r>
      </text>
    </comment>
    <comment ref="C31" authorId="0" shapeId="0">
      <text>
        <r>
          <rPr>
            <sz val="10"/>
            <color indexed="81"/>
            <rFont val="Arial"/>
            <family val="2"/>
          </rPr>
          <t>Enter the expected cull cow price in dollars 
per hundredweight and net of marketing 
costs when they are culled.</t>
        </r>
      </text>
    </comment>
    <comment ref="C35" authorId="0" shapeId="0">
      <text>
        <r>
          <rPr>
            <sz val="10"/>
            <color indexed="81"/>
            <rFont val="Arial"/>
            <family val="2"/>
          </rPr>
          <t>Enter the annual cow costs per cow. If replacement female is 
being retained from within the herd enter 0 in the years in 
which heifer development costs are being incurred.  
In this example, annual cow costs are figured for 10 months in 
the first and last year of production assuming that bred heifers 
are purchased in February and cull cows are sold in October.
Ag Decision Maker B1-21 (Apr 2015 Beef Cow-Calf)
Approximate costs
  $822 -- Total of all costs
  $638 -- Total variable costs</t>
        </r>
      </text>
    </comment>
    <comment ref="C38" authorId="0" shapeId="0">
      <text>
        <r>
          <rPr>
            <sz val="10"/>
            <color indexed="81"/>
            <rFont val="Arial"/>
            <family val="2"/>
          </rPr>
          <t>Enter the annual heifer development costs per heifer if replacement 
females are being retained from within the herd or purchased as 
calves or yearlings.  
Ag Decision Maker B1-73 
(Jan 2014 Raising Versus Buying Heifers for Beef Cow Replacement)
Approximate costs
  $1,063 -- Total of all costs
    $840 -- Total variable costs</t>
        </r>
      </text>
    </comment>
    <comment ref="C52" authorId="0" shapeId="0">
      <text>
        <r>
          <rPr>
            <sz val="10"/>
            <color indexed="81"/>
            <rFont val="Arial"/>
            <family val="2"/>
          </rPr>
          <t>Cull value of remaining females after culls.</t>
        </r>
      </text>
    </comment>
    <comment ref="C77" authorId="0" shapeId="0">
      <text>
        <r>
          <rPr>
            <sz val="10"/>
            <color indexed="81"/>
            <rFont val="Arial"/>
            <family val="2"/>
          </rPr>
          <t>The max bid price reflects the amount that could be paid for a lot of 
replacement females such that the rate of return from the investment 
would be exactly equal to the discount rate given all the input variables 
used in the analysis.
This is the bid price that results in the net present value equal to zero.</t>
        </r>
      </text>
    </comment>
    <comment ref="C78" authorId="0" shapeId="0">
      <text>
        <r>
          <rPr>
            <sz val="10"/>
            <color indexed="81"/>
            <rFont val="Arial"/>
            <family val="2"/>
          </rPr>
          <t>The max bid price reflects the amount that could be paid for a replacement 
female such that the rate of return from the investment would be exactly equal 
to the discount rate given all the input variables used in the analysis.
This is the bid price that results in the net present value equal to zero.</t>
        </r>
      </text>
    </comment>
    <comment ref="C84" authorId="0" shapeId="0">
      <text>
        <r>
          <rPr>
            <sz val="10"/>
            <color indexed="81"/>
            <rFont val="Arial"/>
            <family val="2"/>
          </rPr>
          <t>Annual pre-tax cash flows divided by life of the investment.</t>
        </r>
      </text>
    </comment>
    <comment ref="I84" authorId="0" shapeId="0">
      <text>
        <r>
          <rPr>
            <sz val="10"/>
            <color indexed="81"/>
            <rFont val="Arial"/>
            <family val="2"/>
          </rPr>
          <t>Present value of annual pre-tax cash 
flows divided by life of the investment.</t>
        </r>
      </text>
    </comment>
    <comment ref="C86" authorId="0" shapeId="0">
      <text>
        <r>
          <rPr>
            <sz val="10"/>
            <color indexed="81"/>
            <rFont val="Arial"/>
            <family val="2"/>
          </rPr>
          <t>Internal rate of return (IRR) is a measure of the 
return on investment and takes into account the 
timing and magnitude of future cash flows.</t>
        </r>
      </text>
    </comment>
    <comment ref="I86" authorId="0" shapeId="0">
      <text>
        <r>
          <rPr>
            <sz val="10"/>
            <color indexed="81"/>
            <rFont val="Arial"/>
            <family val="2"/>
          </rPr>
          <t xml:space="preserve">If NPV is positive, the investment is acceptable because the rate of return on future 
earnings is at least as great as the investors' required rate to accept risk (i.e., discount 
rate). If NPV is negative, the rate of return is less than the discount rate and the investment 
is unacceptable. If NPV is zero, the rate of return on the investment equals the discount rate.
Think of it this way: If the NPV is $100, the investment in the replacement female returned 
the minimum rate PLUS $100. If the NPV is -$100 the investment in the replacement female 
returned -$100 LESS than the investor's minimum earnings. </t>
        </r>
      </text>
    </comment>
    <comment ref="C88" authorId="0" shapeId="0">
      <text>
        <r>
          <rPr>
            <sz val="10"/>
            <color indexed="81"/>
            <rFont val="Arial"/>
            <family val="2"/>
          </rPr>
          <t>Years until cumulative value of annual 
pre-tax cash flows exceeds zero.</t>
        </r>
      </text>
    </comment>
    <comment ref="C90" authorId="0" shapeId="0">
      <text>
        <r>
          <rPr>
            <sz val="10"/>
            <color indexed="81"/>
            <rFont val="Arial"/>
            <family val="2"/>
          </rPr>
          <t>Year in which cumulative value of annual 
pre-tax cash flows exceeds zero.</t>
        </r>
      </text>
    </comment>
  </commentList>
</comments>
</file>

<file path=xl/sharedStrings.xml><?xml version="1.0" encoding="utf-8"?>
<sst xmlns="http://schemas.openxmlformats.org/spreadsheetml/2006/main" count="220" uniqueCount="82">
  <si>
    <t>Ag Decision Maker -- Iowa State University Extension and Outreach</t>
  </si>
  <si>
    <t>Place the cursor over cells with red triangles to read comments.</t>
  </si>
  <si>
    <t>Year of purchase</t>
  </si>
  <si>
    <t>First year for calf sales</t>
  </si>
  <si>
    <t>Expected calving opportunities, years</t>
  </si>
  <si>
    <t>Year</t>
  </si>
  <si>
    <t>Steer calf weight, lbs</t>
  </si>
  <si>
    <t>Steer calf price, $/cwt</t>
  </si>
  <si>
    <t>Heifer calf weight, lbs</t>
  </si>
  <si>
    <t>Heifer calf price, $/cwt</t>
  </si>
  <si>
    <t>Cull cow weight, lbs</t>
  </si>
  <si>
    <t>Cull cow price, $/cwt</t>
  </si>
  <si>
    <t>Marketable calves, %</t>
  </si>
  <si>
    <t>Gross receipts (calf sales)</t>
  </si>
  <si>
    <t>Net cash flow</t>
  </si>
  <si>
    <t>Cull cow salvage value</t>
  </si>
  <si>
    <t>Purchase and Financing</t>
  </si>
  <si>
    <t>Production and Prices</t>
  </si>
  <si>
    <t>Income above annual</t>
  </si>
  <si>
    <t>Initial</t>
  </si>
  <si>
    <t>Present value of annual</t>
  </si>
  <si>
    <t>Discount factor (risk rate), %</t>
  </si>
  <si>
    <t>Year 0</t>
  </si>
  <si>
    <t>Year 1</t>
  </si>
  <si>
    <t>Year 2</t>
  </si>
  <si>
    <t>Year 3</t>
  </si>
  <si>
    <t>Year 4</t>
  </si>
  <si>
    <t>Year 5</t>
  </si>
  <si>
    <t>Year 6</t>
  </si>
  <si>
    <t>Year 7</t>
  </si>
  <si>
    <t>Year 8</t>
  </si>
  <si>
    <t>Year 9</t>
  </si>
  <si>
    <t>Year 10</t>
  </si>
  <si>
    <t>Year 11</t>
  </si>
  <si>
    <t>Cumulative value of annual</t>
  </si>
  <si>
    <t>Nominal Cash Flows</t>
  </si>
  <si>
    <t>Discounted Cash Flows</t>
  </si>
  <si>
    <t>Contact: Lee Schulz</t>
  </si>
  <si>
    <t>Date Printed:</t>
  </si>
  <si>
    <t>. . . and justice for all</t>
  </si>
  <si>
    <t>Profitability Indicators</t>
  </si>
  <si>
    <t>Nominal (undiscounted):</t>
  </si>
  <si>
    <t>Preferred (discounted):</t>
  </si>
  <si>
    <t>Annual heifer development</t>
  </si>
  <si>
    <t>costs, $/head</t>
  </si>
  <si>
    <t>costs, $/year</t>
  </si>
  <si>
    <t>Annual cow costs, $/head</t>
  </si>
  <si>
    <t>Enter your input values in shaded cells. If zero, enter 0.</t>
  </si>
  <si>
    <t>Cumulative present value of</t>
  </si>
  <si>
    <r>
      <t xml:space="preserve">For more information see </t>
    </r>
    <r>
      <rPr>
        <u/>
        <sz val="10"/>
        <color rgb="FFC00000"/>
        <rFont val="Arial"/>
        <family val="2"/>
      </rPr>
      <t>File B1-74, Net Present Value of Beef Replacement Females</t>
    </r>
  </si>
  <si>
    <t>Cows at beginning of year</t>
  </si>
  <si>
    <t>Number of replacements purchased</t>
  </si>
  <si>
    <t>$/head</t>
  </si>
  <si>
    <t>Annual pre-tax cash flows,</t>
  </si>
  <si>
    <t>Annual cow cull rate, %</t>
  </si>
  <si>
    <t>Gross costs (cow and heifer)</t>
  </si>
  <si>
    <t>Cows at end of year</t>
  </si>
  <si>
    <t>Price of replacement female, $/head</t>
  </si>
  <si>
    <t>Lot price of replacement females, $</t>
  </si>
  <si>
    <t>$/lot</t>
  </si>
  <si>
    <t>Max bid price for replacement female to yield risk rate</t>
  </si>
  <si>
    <t>pre-tax cash flows,</t>
  </si>
  <si>
    <t>Average annual pre-tax cash flows …………………..</t>
  </si>
  <si>
    <t>Cow age value</t>
  </si>
  <si>
    <t>Present value of average annual pre-tax cash flows …….</t>
  </si>
  <si>
    <t>Net present value (NPV) ……...……………………………</t>
  </si>
  <si>
    <t>Internal rate of return (IRR) ……………………………</t>
  </si>
  <si>
    <t>Payback period, years ………………………………..</t>
  </si>
  <si>
    <t>Payback year ………………………………………….</t>
  </si>
  <si>
    <t>annual pre-tax cash flows,</t>
  </si>
  <si>
    <t>Calving opportunity, Yes/No</t>
  </si>
  <si>
    <t>Annual cow death loss, %</t>
  </si>
  <si>
    <t>Year 12</t>
  </si>
  <si>
    <t>Year 13</t>
  </si>
  <si>
    <t>Year 14</t>
  </si>
  <si>
    <t>Year 15</t>
  </si>
  <si>
    <t>Clear your input values if cells NOT shaded.</t>
  </si>
  <si>
    <t>Maximum bid price, $/lot</t>
  </si>
  <si>
    <t>Maximum bid price, $/head</t>
  </si>
  <si>
    <t>Net Present Value of Beef Replacement Females - Group</t>
  </si>
  <si>
    <t>Iowa State University Extension and Outreach does not discriminate on the basis of age, disability, ethnicity, gender identity, genetic information, marital status, national origin, pregnancy, race, religion, sex, sexual orientation, socioeconomic status, or status as a U.S. veteran. (Not all prohibited bases apply to all programs.) Inquiries regarding non-discrimination policies may be directed to Ross Wilburn, Diversity Officer, 2150 Beardshear Hall, 515 Morrill Road, Ames, Iowa 50011, 515-294-1482, wilburn@iastate.edu.</t>
  </si>
  <si>
    <t>Version 1.2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</si>
</sst>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quot;$&quot;#,##0"/>
    <numFmt numFmtId="167" formatCode="&quot;$&quot;#,##0.0_);[Red]\(&quot;$&quot;#,##0.0\)"/>
  </numFmts>
  <fonts count="31">
    <font>
      <sz val="11"/>
      <color theme="1"/>
      <name val="Calibri"/>
      <family val="2"/>
      <scheme val="minor"/>
    </font>
    <font>
      <sz val="10"/>
      <color theme="1"/>
      <name val="Arial"/>
      <family val="2"/>
    </font>
    <font>
      <sz val="10"/>
      <name val="Arial"/>
      <family val="2"/>
    </font>
    <font>
      <sz val="10"/>
      <name val="Arial"/>
      <family val="2"/>
    </font>
    <font>
      <b/>
      <sz val="10"/>
      <name val="Arial"/>
      <family val="2"/>
    </font>
    <font>
      <sz val="11"/>
      <color theme="1"/>
      <name val="Arial"/>
      <family val="2"/>
    </font>
    <font>
      <u/>
      <sz val="6"/>
      <color indexed="12"/>
      <name val="Courier"/>
      <family val="3"/>
    </font>
    <font>
      <u/>
      <sz val="12"/>
      <color theme="10"/>
      <name val="Arial"/>
      <family val="2"/>
    </font>
    <font>
      <sz val="10"/>
      <name val="Arial"/>
      <family val="2"/>
    </font>
    <font>
      <b/>
      <sz val="14"/>
      <color indexed="9"/>
      <name val="Arial"/>
      <family val="2"/>
    </font>
    <font>
      <b/>
      <sz val="11"/>
      <color indexed="63"/>
      <name val="Arial"/>
      <family val="2"/>
    </font>
    <font>
      <sz val="9"/>
      <name val="Arial"/>
      <family val="2"/>
    </font>
    <font>
      <sz val="6"/>
      <color indexed="63"/>
      <name val="Arial"/>
      <family val="2"/>
    </font>
    <font>
      <u/>
      <sz val="10"/>
      <color indexed="12"/>
      <name val="Arial"/>
      <family val="2"/>
    </font>
    <font>
      <u/>
      <sz val="10"/>
      <color indexed="45"/>
      <name val="Arial"/>
      <family val="2"/>
    </font>
    <font>
      <sz val="6"/>
      <name val="Arial"/>
      <family val="2"/>
    </font>
    <font>
      <sz val="10"/>
      <name val="Arial"/>
      <family val="2"/>
    </font>
    <font>
      <sz val="11"/>
      <color theme="1"/>
      <name val="Calibri"/>
      <family val="2"/>
      <scheme val="minor"/>
    </font>
    <font>
      <sz val="10"/>
      <color theme="1"/>
      <name val="Arial"/>
      <family val="2"/>
    </font>
    <font>
      <sz val="10"/>
      <color indexed="81"/>
      <name val="Arial"/>
      <family val="2"/>
    </font>
    <font>
      <b/>
      <u/>
      <sz val="10"/>
      <name val="Arial"/>
      <family val="2"/>
    </font>
    <font>
      <sz val="12"/>
      <name val="Arial"/>
      <family val="2"/>
    </font>
    <font>
      <u/>
      <sz val="14.4"/>
      <color indexed="12"/>
      <name val="Arial"/>
      <family val="2"/>
    </font>
    <font>
      <sz val="12"/>
      <name val="Arial"/>
      <family val="2"/>
    </font>
    <font>
      <sz val="12"/>
      <name val="Arial MT"/>
    </font>
    <font>
      <u/>
      <sz val="10"/>
      <color theme="1"/>
      <name val="Arial"/>
      <family val="2"/>
    </font>
    <font>
      <b/>
      <u/>
      <sz val="10"/>
      <color theme="1"/>
      <name val="Arial"/>
      <family val="2"/>
    </font>
    <font>
      <u/>
      <sz val="10"/>
      <color rgb="FFC00000"/>
      <name val="Arial"/>
      <family val="2"/>
    </font>
    <font>
      <u/>
      <sz val="11"/>
      <color theme="10"/>
      <name val="Calibri"/>
      <family val="2"/>
      <scheme val="minor"/>
    </font>
    <font>
      <u/>
      <sz val="11"/>
      <color rgb="FFC00000"/>
      <name val="Arial"/>
      <family val="2"/>
    </font>
    <font>
      <sz val="12"/>
      <name val="Arial"/>
      <family val="2"/>
    </font>
  </fonts>
  <fills count="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indexed="54"/>
      </patternFill>
    </fill>
    <fill>
      <patternFill patternType="solid">
        <fgColor indexed="9"/>
        <bgColor indexed="64"/>
      </patternFill>
    </fill>
    <fill>
      <patternFill patternType="solid">
        <fgColor theme="2" tint="-9.9978637043366805E-2"/>
        <bgColor indexed="64"/>
      </patternFill>
    </fill>
    <fill>
      <patternFill patternType="solid">
        <fgColor theme="2" tint="-9.9978637043366805E-2"/>
        <bgColor indexed="5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2" tint="-9.9948118533890809E-2"/>
      </bottom>
      <diagonal/>
    </border>
  </borders>
  <cellStyleXfs count="35">
    <xf numFmtId="0" fontId="0" fillId="0" borderId="0"/>
    <xf numFmtId="0" fontId="2" fillId="0" borderId="0"/>
    <xf numFmtId="9" fontId="2" fillId="0" borderId="0" applyFont="0" applyFill="0" applyBorder="0" applyAlignment="0" applyProtection="0"/>
    <xf numFmtId="0" fontId="3" fillId="0" borderId="0"/>
    <xf numFmtId="0" fontId="6" fillId="0" borderId="0" applyNumberFormat="0" applyFill="0" applyBorder="0" applyAlignment="0" applyProtection="0">
      <alignment vertical="top"/>
      <protection locked="0"/>
    </xf>
    <xf numFmtId="9" fontId="3"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alignment vertical="top"/>
      <protection locked="0"/>
    </xf>
    <xf numFmtId="0" fontId="16" fillId="0" borderId="0"/>
    <xf numFmtId="44" fontId="16"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0" fontId="21" fillId="0" borderId="0"/>
    <xf numFmtId="44" fontId="23" fillId="0" borderId="0" applyFont="0" applyFill="0" applyBorder="0" applyAlignment="0" applyProtection="0"/>
    <xf numFmtId="0" fontId="22"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24" fillId="0" borderId="0"/>
    <xf numFmtId="43" fontId="2" fillId="0" borderId="0" applyFont="0" applyFill="0" applyBorder="0" applyAlignment="0" applyProtection="0"/>
    <xf numFmtId="0" fontId="28" fillId="0" borderId="0" applyNumberForma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4" fontId="21" fillId="0" borderId="0" applyFont="0" applyFill="0" applyBorder="0" applyAlignment="0" applyProtection="0"/>
    <xf numFmtId="0" fontId="30" fillId="0" borderId="0"/>
    <xf numFmtId="44" fontId="21"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4" fontId="21" fillId="0" borderId="0" applyFont="0" applyFill="0" applyBorder="0" applyAlignment="0" applyProtection="0"/>
  </cellStyleXfs>
  <cellXfs count="122">
    <xf numFmtId="0" fontId="0" fillId="0" borderId="0" xfId="0"/>
    <xf numFmtId="0" fontId="11" fillId="2" borderId="0" xfId="0" applyFont="1" applyFill="1" applyBorder="1" applyAlignment="1" applyProtection="1">
      <alignment horizontal="left"/>
    </xf>
    <xf numFmtId="0" fontId="11" fillId="2" borderId="0" xfId="0" applyFont="1" applyFill="1" applyBorder="1" applyAlignment="1" applyProtection="1"/>
    <xf numFmtId="0" fontId="2" fillId="0" borderId="0" xfId="1" applyFont="1" applyBorder="1" applyProtection="1"/>
    <xf numFmtId="0" fontId="14" fillId="0" borderId="0" xfId="11" applyFont="1" applyBorder="1" applyAlignment="1" applyProtection="1">
      <alignment horizontal="left"/>
    </xf>
    <xf numFmtId="14" fontId="2" fillId="0" borderId="0" xfId="1" applyNumberFormat="1" applyFont="1" applyBorder="1" applyAlignment="1" applyProtection="1">
      <alignment horizontal="left"/>
    </xf>
    <xf numFmtId="0" fontId="12" fillId="0" borderId="0" xfId="1" applyFont="1" applyBorder="1" applyAlignment="1" applyProtection="1">
      <alignment horizontal="left"/>
    </xf>
    <xf numFmtId="0" fontId="15" fillId="0" borderId="0" xfId="1" applyFont="1" applyBorder="1" applyProtection="1"/>
    <xf numFmtId="0" fontId="2" fillId="2" borderId="0" xfId="0" applyFont="1" applyFill="1" applyBorder="1" applyAlignment="1" applyProtection="1">
      <alignment horizontal="left"/>
    </xf>
    <xf numFmtId="0" fontId="2" fillId="0" borderId="0" xfId="0" applyFont="1" applyBorder="1" applyAlignment="1" applyProtection="1"/>
    <xf numFmtId="0" fontId="2" fillId="0" borderId="0" xfId="1" applyFont="1" applyBorder="1" applyAlignment="1" applyProtection="1">
      <alignment horizontal="left"/>
    </xf>
    <xf numFmtId="0" fontId="4" fillId="0" borderId="0" xfId="1" applyFont="1" applyBorder="1" applyAlignment="1" applyProtection="1"/>
    <xf numFmtId="0" fontId="20" fillId="2" borderId="0" xfId="0" applyFont="1" applyFill="1" applyBorder="1" applyAlignment="1" applyProtection="1">
      <alignment horizontal="left"/>
    </xf>
    <xf numFmtId="0" fontId="2" fillId="2" borderId="0" xfId="0" applyFont="1" applyFill="1" applyBorder="1" applyAlignment="1" applyProtection="1">
      <alignment horizontal="center"/>
    </xf>
    <xf numFmtId="0" fontId="2" fillId="5" borderId="0" xfId="16" applyNumberFormat="1" applyFont="1" applyFill="1" applyBorder="1" applyAlignment="1" applyProtection="1">
      <alignment horizontal="left" vertical="center"/>
    </xf>
    <xf numFmtId="0" fontId="2" fillId="2" borderId="0" xfId="16" applyNumberFormat="1" applyFont="1" applyFill="1" applyBorder="1" applyAlignment="1" applyProtection="1">
      <alignment horizontal="center" vertical="center"/>
    </xf>
    <xf numFmtId="165" fontId="2" fillId="2" borderId="0" xfId="16" applyNumberFormat="1" applyFont="1" applyFill="1" applyBorder="1" applyAlignment="1" applyProtection="1">
      <alignment horizontal="center" vertical="center"/>
    </xf>
    <xf numFmtId="0" fontId="4" fillId="0" borderId="0" xfId="1" applyFont="1" applyFill="1" applyBorder="1" applyAlignment="1" applyProtection="1"/>
    <xf numFmtId="0" fontId="27" fillId="0" borderId="0" xfId="11" applyFont="1" applyBorder="1" applyAlignment="1" applyProtection="1">
      <alignment horizontal="left"/>
    </xf>
    <xf numFmtId="0" fontId="2" fillId="0" borderId="0" xfId="11" applyFont="1" applyBorder="1" applyAlignment="1" applyProtection="1">
      <alignment horizontal="left"/>
    </xf>
    <xf numFmtId="164" fontId="2" fillId="2" borderId="0" xfId="0" applyNumberFormat="1" applyFont="1" applyFill="1" applyBorder="1" applyAlignment="1" applyProtection="1">
      <alignment horizontal="right"/>
    </xf>
    <xf numFmtId="0" fontId="2" fillId="8" borderId="1" xfId="16" applyNumberFormat="1" applyFont="1" applyFill="1" applyBorder="1" applyAlignment="1" applyProtection="1">
      <alignment horizontal="right" vertical="center"/>
      <protection locked="0"/>
    </xf>
    <xf numFmtId="0" fontId="2" fillId="8" borderId="1" xfId="15" applyNumberFormat="1" applyFont="1" applyFill="1" applyBorder="1" applyAlignment="1" applyProtection="1">
      <alignment horizontal="right" vertical="center"/>
      <protection locked="0"/>
    </xf>
    <xf numFmtId="166" fontId="2" fillId="8" borderId="1" xfId="16" applyNumberFormat="1" applyFont="1" applyFill="1" applyBorder="1" applyAlignment="1" applyProtection="1">
      <alignment vertical="center"/>
      <protection locked="0"/>
    </xf>
    <xf numFmtId="164" fontId="2" fillId="8" borderId="1" xfId="0" applyNumberFormat="1" applyFont="1" applyFill="1" applyBorder="1" applyAlignment="1" applyProtection="1">
      <alignment horizontal="right"/>
      <protection locked="0"/>
    </xf>
    <xf numFmtId="0" fontId="14" fillId="0" borderId="0" xfId="11" applyFont="1" applyBorder="1" applyAlignment="1" applyProtection="1">
      <alignment horizontal="left" indent="1"/>
    </xf>
    <xf numFmtId="0" fontId="29" fillId="0" borderId="0" xfId="22" applyFont="1" applyBorder="1" applyAlignment="1" applyProtection="1">
      <alignment horizontal="left"/>
    </xf>
    <xf numFmtId="166" fontId="2" fillId="2" borderId="0" xfId="0" applyNumberFormat="1" applyFont="1" applyFill="1" applyBorder="1" applyAlignment="1" applyProtection="1">
      <alignment horizontal="center" shrinkToFit="1"/>
    </xf>
    <xf numFmtId="0" fontId="2" fillId="5" borderId="0" xfId="28" applyNumberFormat="1" applyFont="1" applyFill="1" applyAlignment="1" applyProtection="1">
      <alignment vertical="center"/>
    </xf>
    <xf numFmtId="6" fontId="2" fillId="2" borderId="0" xfId="0" applyNumberFormat="1" applyFont="1" applyFill="1" applyBorder="1" applyAlignment="1" applyProtection="1">
      <alignment horizontal="center"/>
    </xf>
    <xf numFmtId="0" fontId="2" fillId="5" borderId="0" xfId="16" applyNumberFormat="1" applyFont="1" applyFill="1" applyBorder="1" applyAlignment="1" applyProtection="1">
      <alignment vertical="center"/>
    </xf>
    <xf numFmtId="0" fontId="2" fillId="2" borderId="0" xfId="0" applyFont="1" applyFill="1" applyBorder="1" applyAlignment="1" applyProtection="1">
      <alignment horizontal="left" shrinkToFit="1"/>
    </xf>
    <xf numFmtId="0" fontId="2" fillId="8" borderId="1" xfId="0" applyFont="1" applyFill="1" applyBorder="1" applyAlignment="1" applyProtection="1">
      <alignment horizontal="center" shrinkToFit="1"/>
      <protection locked="0"/>
    </xf>
    <xf numFmtId="0" fontId="2" fillId="8" borderId="1" xfId="0" applyNumberFormat="1" applyFont="1" applyFill="1" applyBorder="1" applyAlignment="1" applyProtection="1">
      <alignment horizontal="center" shrinkToFit="1"/>
      <protection locked="0"/>
    </xf>
    <xf numFmtId="165" fontId="2" fillId="2" borderId="0" xfId="0" applyNumberFormat="1" applyFont="1" applyFill="1" applyBorder="1" applyAlignment="1" applyProtection="1">
      <alignment horizontal="center" shrinkToFit="1"/>
    </xf>
    <xf numFmtId="166" fontId="2" fillId="2" borderId="0" xfId="0" quotePrefix="1" applyNumberFormat="1" applyFont="1" applyFill="1" applyBorder="1" applyAlignment="1" applyProtection="1">
      <alignment horizontal="center" shrinkToFit="1"/>
    </xf>
    <xf numFmtId="166" fontId="2" fillId="8" borderId="1" xfId="0" applyNumberFormat="1" applyFont="1" applyFill="1" applyBorder="1" applyAlignment="1" applyProtection="1">
      <alignment horizontal="center" shrinkToFit="1"/>
      <protection locked="0"/>
    </xf>
    <xf numFmtId="6" fontId="2" fillId="2" borderId="0" xfId="0" applyNumberFormat="1" applyFont="1" applyFill="1" applyBorder="1" applyAlignment="1" applyProtection="1">
      <alignment horizontal="center" shrinkToFit="1"/>
    </xf>
    <xf numFmtId="0" fontId="2" fillId="8" borderId="1" xfId="16" applyNumberFormat="1" applyFont="1" applyFill="1" applyBorder="1" applyAlignment="1" applyProtection="1">
      <alignment vertical="center"/>
      <protection locked="0"/>
    </xf>
    <xf numFmtId="0" fontId="2" fillId="2" borderId="3" xfId="0" applyFont="1" applyFill="1" applyBorder="1" applyAlignment="1" applyProtection="1">
      <alignment horizontal="left"/>
    </xf>
    <xf numFmtId="0" fontId="2" fillId="2" borderId="4" xfId="0" applyFont="1" applyFill="1" applyBorder="1" applyAlignment="1" applyProtection="1">
      <alignment horizontal="left"/>
    </xf>
    <xf numFmtId="0" fontId="2" fillId="2" borderId="2" xfId="0" applyFont="1" applyFill="1" applyBorder="1" applyAlignment="1" applyProtection="1">
      <alignment horizontal="left"/>
    </xf>
    <xf numFmtId="165" fontId="2" fillId="8" borderId="1" xfId="0" applyNumberFormat="1" applyFont="1" applyFill="1" applyBorder="1" applyAlignment="1" applyProtection="1">
      <alignment horizontal="center" shrinkToFit="1"/>
      <protection locked="0"/>
    </xf>
    <xf numFmtId="0" fontId="12" fillId="0" borderId="0" xfId="1" applyFont="1" applyBorder="1" applyAlignment="1" applyProtection="1">
      <alignment horizontal="left" vertical="top" wrapText="1"/>
    </xf>
    <xf numFmtId="0" fontId="9" fillId="3" borderId="6" xfId="0" applyFont="1" applyFill="1" applyBorder="1" applyAlignment="1" applyProtection="1"/>
    <xf numFmtId="0" fontId="2" fillId="7" borderId="0" xfId="0" applyFont="1" applyFill="1" applyProtection="1"/>
    <xf numFmtId="0" fontId="2" fillId="0" borderId="0" xfId="0" applyFont="1" applyFill="1" applyProtection="1"/>
    <xf numFmtId="0" fontId="10" fillId="0" borderId="0" xfId="0" applyFont="1" applyProtection="1"/>
    <xf numFmtId="0" fontId="4" fillId="0" borderId="0" xfId="0" applyFont="1" applyProtection="1"/>
    <xf numFmtId="0" fontId="2" fillId="0" borderId="0" xfId="0" applyFont="1" applyProtection="1"/>
    <xf numFmtId="0" fontId="2" fillId="4" borderId="0" xfId="0" applyFont="1" applyFill="1" applyProtection="1"/>
    <xf numFmtId="0" fontId="0" fillId="7" borderId="0" xfId="0" applyFill="1" applyProtection="1"/>
    <xf numFmtId="0" fontId="0" fillId="0" borderId="0" xfId="0" applyFill="1" applyProtection="1"/>
    <xf numFmtId="0" fontId="0" fillId="0" borderId="0" xfId="0" applyProtection="1"/>
    <xf numFmtId="0" fontId="18" fillId="7" borderId="0" xfId="0" applyFont="1" applyFill="1" applyProtection="1"/>
    <xf numFmtId="0" fontId="18" fillId="0" borderId="0" xfId="0" applyFont="1" applyFill="1" applyProtection="1"/>
    <xf numFmtId="0" fontId="18" fillId="0" borderId="0" xfId="0" applyFont="1" applyProtection="1"/>
    <xf numFmtId="0" fontId="1" fillId="0" borderId="0" xfId="0" applyFont="1" applyProtection="1"/>
    <xf numFmtId="166" fontId="18" fillId="0" borderId="0" xfId="0" applyNumberFormat="1" applyFont="1" applyProtection="1"/>
    <xf numFmtId="0" fontId="26" fillId="0" borderId="0" xfId="0" applyFont="1" applyProtection="1"/>
    <xf numFmtId="0" fontId="18" fillId="2" borderId="0" xfId="0" applyFont="1" applyFill="1" applyBorder="1" applyAlignment="1" applyProtection="1">
      <alignment horizontal="center"/>
    </xf>
    <xf numFmtId="0" fontId="18" fillId="0" borderId="0" xfId="0" applyFont="1" applyAlignment="1" applyProtection="1">
      <alignment horizontal="center"/>
    </xf>
    <xf numFmtId="0" fontId="18" fillId="2" borderId="0" xfId="0" applyFont="1" applyFill="1" applyProtection="1"/>
    <xf numFmtId="1" fontId="18" fillId="2" borderId="0" xfId="0" applyNumberFormat="1" applyFont="1" applyFill="1" applyBorder="1" applyAlignment="1" applyProtection="1">
      <alignment horizontal="center"/>
    </xf>
    <xf numFmtId="1" fontId="18" fillId="0" borderId="0" xfId="0" applyNumberFormat="1" applyFont="1" applyAlignment="1" applyProtection="1">
      <alignment horizontal="center"/>
    </xf>
    <xf numFmtId="0" fontId="18" fillId="4" borderId="0" xfId="0" applyFont="1" applyFill="1" applyAlignment="1" applyProtection="1">
      <alignment horizontal="center"/>
    </xf>
    <xf numFmtId="0" fontId="18" fillId="4" borderId="0" xfId="0" applyFont="1" applyFill="1" applyProtection="1"/>
    <xf numFmtId="0" fontId="18" fillId="2" borderId="0" xfId="0" applyFont="1" applyFill="1" applyBorder="1" applyAlignment="1" applyProtection="1">
      <alignment shrinkToFit="1"/>
    </xf>
    <xf numFmtId="165" fontId="18" fillId="0" borderId="0" xfId="0" applyNumberFormat="1" applyFont="1" applyProtection="1"/>
    <xf numFmtId="0" fontId="1" fillId="2" borderId="0" xfId="0" applyFont="1" applyFill="1" applyBorder="1" applyAlignment="1" applyProtection="1">
      <alignment shrinkToFit="1"/>
    </xf>
    <xf numFmtId="0" fontId="1" fillId="4" borderId="0" xfId="0" applyFont="1" applyFill="1" applyProtection="1"/>
    <xf numFmtId="0" fontId="18" fillId="0" borderId="0" xfId="0" applyFont="1" applyAlignment="1" applyProtection="1">
      <alignment shrinkToFit="1"/>
    </xf>
    <xf numFmtId="0" fontId="18" fillId="0" borderId="0" xfId="0" applyFont="1" applyAlignment="1" applyProtection="1">
      <alignment horizontal="center" shrinkToFit="1"/>
    </xf>
    <xf numFmtId="0" fontId="25" fillId="0" borderId="0" xfId="0" applyFont="1" applyAlignment="1" applyProtection="1">
      <alignment horizontal="center"/>
    </xf>
    <xf numFmtId="0" fontId="25" fillId="0" borderId="0" xfId="0" applyFont="1" applyAlignment="1" applyProtection="1">
      <alignment horizontal="center" shrinkToFit="1"/>
    </xf>
    <xf numFmtId="0" fontId="2" fillId="5" borderId="0" xfId="1" applyFont="1" applyFill="1" applyAlignment="1" applyProtection="1">
      <alignment horizontal="left"/>
    </xf>
    <xf numFmtId="6" fontId="2" fillId="5" borderId="0" xfId="1" applyNumberFormat="1" applyFont="1" applyFill="1" applyAlignment="1" applyProtection="1">
      <alignment horizontal="center"/>
    </xf>
    <xf numFmtId="6" fontId="2" fillId="5" borderId="0" xfId="1" applyNumberFormat="1" applyFont="1" applyFill="1" applyAlignment="1" applyProtection="1">
      <alignment horizontal="center" shrinkToFit="1"/>
    </xf>
    <xf numFmtId="6" fontId="18" fillId="4" borderId="0" xfId="0" applyNumberFormat="1" applyFont="1" applyFill="1" applyAlignment="1" applyProtection="1">
      <alignment horizontal="center"/>
    </xf>
    <xf numFmtId="6" fontId="18" fillId="4" borderId="0" xfId="0" applyNumberFormat="1" applyFont="1" applyFill="1" applyAlignment="1" applyProtection="1">
      <alignment horizontal="center" shrinkToFit="1"/>
    </xf>
    <xf numFmtId="0" fontId="18" fillId="4" borderId="0" xfId="0" applyFont="1" applyFill="1" applyAlignment="1" applyProtection="1">
      <alignment shrinkToFit="1"/>
    </xf>
    <xf numFmtId="0" fontId="26" fillId="4" borderId="0" xfId="0" applyFont="1" applyFill="1" applyProtection="1"/>
    <xf numFmtId="0" fontId="18" fillId="4" borderId="0" xfId="0" applyFont="1" applyFill="1" applyAlignment="1" applyProtection="1">
      <alignment horizontal="center" shrinkToFit="1"/>
    </xf>
    <xf numFmtId="6" fontId="2" fillId="5" borderId="0" xfId="1" quotePrefix="1" applyNumberFormat="1" applyFont="1" applyFill="1" applyBorder="1" applyAlignment="1" applyProtection="1">
      <alignment horizontal="center" shrinkToFit="1"/>
    </xf>
    <xf numFmtId="167" fontId="2" fillId="5" borderId="0" xfId="1" quotePrefix="1" applyNumberFormat="1" applyFont="1" applyFill="1" applyBorder="1" applyAlignment="1" applyProtection="1">
      <alignment horizontal="center" shrinkToFit="1"/>
    </xf>
    <xf numFmtId="8" fontId="18" fillId="4" borderId="0" xfId="0" applyNumberFormat="1" applyFont="1" applyFill="1" applyAlignment="1" applyProtection="1">
      <alignment horizontal="center" shrinkToFit="1"/>
    </xf>
    <xf numFmtId="0" fontId="18" fillId="7" borderId="0" xfId="0" applyFont="1" applyFill="1" applyBorder="1" applyProtection="1"/>
    <xf numFmtId="0" fontId="18" fillId="0" borderId="0" xfId="0" applyFont="1" applyFill="1" applyBorder="1" applyProtection="1"/>
    <xf numFmtId="0" fontId="18" fillId="0" borderId="0" xfId="0" applyFont="1" applyBorder="1" applyProtection="1"/>
    <xf numFmtId="166" fontId="18" fillId="0" borderId="0" xfId="0" applyNumberFormat="1" applyFont="1" applyAlignment="1" applyProtection="1">
      <alignment horizontal="right" indent="1" shrinkToFit="1"/>
    </xf>
    <xf numFmtId="165" fontId="18" fillId="0" borderId="0" xfId="0" applyNumberFormat="1" applyFont="1" applyAlignment="1" applyProtection="1">
      <alignment horizontal="center" shrinkToFit="1"/>
    </xf>
    <xf numFmtId="6" fontId="18" fillId="0" borderId="0" xfId="0" applyNumberFormat="1" applyFont="1" applyAlignment="1" applyProtection="1">
      <alignment horizontal="center"/>
    </xf>
    <xf numFmtId="8" fontId="18" fillId="0" borderId="0" xfId="0" applyNumberFormat="1" applyFont="1" applyAlignment="1" applyProtection="1">
      <alignment horizontal="center"/>
    </xf>
    <xf numFmtId="0" fontId="2" fillId="5" borderId="0" xfId="1" applyFont="1" applyFill="1" applyBorder="1" applyAlignment="1" applyProtection="1">
      <alignment horizontal="left"/>
    </xf>
    <xf numFmtId="0" fontId="18" fillId="0" borderId="0" xfId="0" applyFont="1" applyAlignment="1" applyProtection="1">
      <alignment horizontal="left" indent="1"/>
    </xf>
    <xf numFmtId="0" fontId="18" fillId="0" borderId="0" xfId="0" applyFont="1" applyAlignment="1" applyProtection="1">
      <alignment horizontal="right" indent="1" shrinkToFit="1"/>
    </xf>
    <xf numFmtId="0" fontId="2" fillId="5" borderId="0" xfId="1" applyFont="1" applyFill="1" applyAlignment="1" applyProtection="1">
      <alignment horizontal="left" vertical="center" indent="2"/>
    </xf>
    <xf numFmtId="0" fontId="0" fillId="0" borderId="0" xfId="0" applyBorder="1" applyAlignment="1" applyProtection="1">
      <alignment horizontal="left" indent="1"/>
    </xf>
    <xf numFmtId="0" fontId="18" fillId="0" borderId="0" xfId="0" applyFont="1" applyBorder="1" applyAlignment="1" applyProtection="1">
      <alignment horizontal="left" indent="1"/>
    </xf>
    <xf numFmtId="166" fontId="2" fillId="0" borderId="0" xfId="1" applyNumberFormat="1" applyFont="1" applyFill="1" applyAlignment="1" applyProtection="1">
      <alignment horizontal="center" vertical="center" shrinkToFit="1"/>
    </xf>
    <xf numFmtId="165" fontId="18" fillId="0" borderId="0" xfId="0" applyNumberFormat="1" applyFont="1" applyAlignment="1" applyProtection="1">
      <alignment horizontal="center"/>
    </xf>
    <xf numFmtId="0" fontId="0" fillId="0" borderId="0" xfId="0" applyBorder="1" applyProtection="1"/>
    <xf numFmtId="0" fontId="0" fillId="7" borderId="0" xfId="0" applyFill="1" applyBorder="1" applyProtection="1"/>
    <xf numFmtId="0" fontId="0" fillId="0" borderId="0" xfId="0" applyFill="1" applyBorder="1" applyProtection="1"/>
    <xf numFmtId="0" fontId="5" fillId="2" borderId="0" xfId="0" applyFont="1" applyFill="1" applyProtection="1"/>
    <xf numFmtId="0" fontId="5" fillId="2" borderId="0" xfId="0" applyFont="1" applyFill="1" applyBorder="1" applyProtection="1"/>
    <xf numFmtId="0" fontId="5" fillId="6" borderId="0" xfId="0" applyFont="1" applyFill="1" applyProtection="1"/>
    <xf numFmtId="0" fontId="5" fillId="0" borderId="0" xfId="0" applyFont="1" applyFill="1" applyProtection="1"/>
    <xf numFmtId="2" fontId="2" fillId="5" borderId="0" xfId="1" applyNumberFormat="1" applyFont="1" applyFill="1" applyBorder="1" applyAlignment="1" applyProtection="1">
      <alignment horizontal="left" vertical="center" indent="1"/>
    </xf>
    <xf numFmtId="165" fontId="2" fillId="0" borderId="0" xfId="1" applyNumberFormat="1" applyFont="1" applyFill="1" applyBorder="1" applyAlignment="1" applyProtection="1"/>
    <xf numFmtId="164" fontId="2" fillId="8" borderId="1" xfId="15" applyNumberFormat="1" applyFont="1" applyFill="1" applyBorder="1" applyAlignment="1" applyProtection="1">
      <alignment horizontal="center"/>
      <protection locked="0"/>
    </xf>
    <xf numFmtId="9" fontId="18" fillId="8" borderId="1" xfId="15" applyFont="1" applyFill="1" applyBorder="1" applyAlignment="1" applyProtection="1">
      <alignment horizontal="center" shrinkToFit="1"/>
      <protection locked="0"/>
    </xf>
    <xf numFmtId="0" fontId="12" fillId="0" borderId="0" xfId="1" applyFont="1" applyBorder="1" applyAlignment="1" applyProtection="1">
      <alignment horizontal="left" vertical="top" wrapText="1"/>
    </xf>
    <xf numFmtId="0" fontId="2" fillId="0" borderId="0" xfId="22" applyFont="1" applyAlignment="1" applyProtection="1">
      <alignment horizontal="left"/>
    </xf>
    <xf numFmtId="0" fontId="12" fillId="0" borderId="0" xfId="1" applyFont="1" applyBorder="1" applyAlignment="1" applyProtection="1">
      <alignment horizontal="left" vertical="top" wrapText="1"/>
    </xf>
    <xf numFmtId="0" fontId="2" fillId="8" borderId="3" xfId="0" applyFont="1" applyFill="1" applyBorder="1" applyAlignment="1" applyProtection="1">
      <alignment horizontal="left"/>
    </xf>
    <xf numFmtId="0" fontId="2" fillId="8" borderId="4" xfId="0" applyFont="1" applyFill="1" applyBorder="1" applyAlignment="1" applyProtection="1">
      <alignment horizontal="left"/>
    </xf>
    <xf numFmtId="0" fontId="2" fillId="8" borderId="2" xfId="0" applyFont="1" applyFill="1" applyBorder="1" applyAlignment="1" applyProtection="1">
      <alignment horizontal="left"/>
    </xf>
    <xf numFmtId="0" fontId="2" fillId="0" borderId="5" xfId="0" applyFont="1" applyBorder="1" applyAlignment="1" applyProtection="1">
      <alignment horizontal="left"/>
    </xf>
    <xf numFmtId="0" fontId="2" fillId="5" borderId="0" xfId="1" applyFont="1" applyFill="1" applyAlignment="1" applyProtection="1">
      <alignment horizontal="left" vertical="center" indent="1"/>
    </xf>
    <xf numFmtId="164" fontId="2" fillId="5" borderId="0" xfId="1" quotePrefix="1" applyNumberFormat="1" applyFont="1" applyFill="1" applyAlignment="1" applyProtection="1">
      <alignment horizontal="center" shrinkToFit="1"/>
    </xf>
    <xf numFmtId="1" fontId="2" fillId="5" borderId="0" xfId="1" applyNumberFormat="1" applyFont="1" applyFill="1" applyAlignment="1" applyProtection="1">
      <alignment horizontal="center" shrinkToFit="1"/>
    </xf>
  </cellXfs>
  <cellStyles count="35">
    <cellStyle name="Comma 2" xfId="21"/>
    <cellStyle name="Currency 2" xfId="10"/>
    <cellStyle name="Currency 2 2" xfId="17"/>
    <cellStyle name="Currency 2 2 2" xfId="34"/>
    <cellStyle name="Currency 2 2 3" xfId="27"/>
    <cellStyle name="Currency 2 3" xfId="29"/>
    <cellStyle name="Currency 3" xfId="13"/>
    <cellStyle name="Currency 3 2" xfId="32"/>
    <cellStyle name="Currency 3 3" xfId="25"/>
    <cellStyle name="Hyperlink" xfId="22" builtinId="8"/>
    <cellStyle name="Hyperlink 2" xfId="4"/>
    <cellStyle name="Hyperlink 2 2" xfId="19"/>
    <cellStyle name="Hyperlink 3" xfId="6"/>
    <cellStyle name="Hyperlink 4" xfId="11"/>
    <cellStyle name="Hyperlink 5" xfId="18"/>
    <cellStyle name="Normal" xfId="0" builtinId="0"/>
    <cellStyle name="Normal 2" xfId="1"/>
    <cellStyle name="Normal 2 2" xfId="20"/>
    <cellStyle name="Normal 3" xfId="3"/>
    <cellStyle name="Normal 3 2" xfId="8"/>
    <cellStyle name="Normal 4" xfId="7"/>
    <cellStyle name="Normal 4 2" xfId="30"/>
    <cellStyle name="Normal 4 3" xfId="23"/>
    <cellStyle name="Normal 5" xfId="12"/>
    <cellStyle name="Normal 5 2" xfId="31"/>
    <cellStyle name="Normal 5 3" xfId="24"/>
    <cellStyle name="Normal 6" xfId="16"/>
    <cellStyle name="Normal 7" xfId="28"/>
    <cellStyle name="Percent" xfId="15" builtinId="5"/>
    <cellStyle name="Percent 2" xfId="2"/>
    <cellStyle name="Percent 3" xfId="5"/>
    <cellStyle name="Percent 3 2" xfId="9"/>
    <cellStyle name="Percent 4" xfId="14"/>
    <cellStyle name="Percent 4 2" xfId="33"/>
    <cellStyle name="Percent 4 3" xfId="26"/>
  </cellStyles>
  <dxfs count="3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0000FF"/>
      <color rgb="FFFF6699"/>
      <color rgb="FFFF5050"/>
      <color rgb="FFFFFFCC"/>
      <color rgb="FFFFFF99"/>
      <color rgb="FF990000"/>
      <color rgb="FFCCCC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Nominal Cash</a:t>
            </a:r>
            <a:r>
              <a:rPr lang="en-US" sz="1100" baseline="0">
                <a:latin typeface="Arial" panose="020B0604020202020204" pitchFamily="34" charset="0"/>
                <a:cs typeface="Arial" panose="020B0604020202020204" pitchFamily="34" charset="0"/>
              </a:rPr>
              <a:t> Flows, $/lot</a:t>
            </a:r>
            <a:endParaRPr lang="en-US" sz="1100">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Example!$D$55:$S$55</c:f>
              <c:numCache>
                <c:formatCode>"$"#,##0_);[Red]\("$"#,##0\)</c:formatCode>
                <c:ptCount val="16"/>
                <c:pt idx="0">
                  <c:v>-126811.99999999999</c:v>
                </c:pt>
                <c:pt idx="1">
                  <c:v>40542.099999999991</c:v>
                </c:pt>
                <c:pt idx="2">
                  <c:v>23734.095000000001</c:v>
                </c:pt>
                <c:pt idx="3">
                  <c:v>19866.866250000003</c:v>
                </c:pt>
                <c:pt idx="4">
                  <c:v>15062.986640625</c:v>
                </c:pt>
                <c:pt idx="5">
                  <c:v>13180.113310546876</c:v>
                </c:pt>
                <c:pt idx="6">
                  <c:v>9976.6166180419896</c:v>
                </c:pt>
                <c:pt idx="7">
                  <c:v>8094.8782055282654</c:v>
                </c:pt>
                <c:pt idx="8">
                  <c:v>5845.1225713634449</c:v>
                </c:pt>
                <c:pt idx="9">
                  <c:v>4984.3418456912077</c:v>
                </c:pt>
                <c:pt idx="10">
                  <c:v>4209.3269046749192</c:v>
                </c:pt>
                <c:pt idx="11">
                  <c:v>6568.728423900855</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0485-4A5B-B523-651E62B309AA}"/>
            </c:ext>
          </c:extLst>
        </c:ser>
        <c:dLbls>
          <c:showLegendKey val="0"/>
          <c:showVal val="0"/>
          <c:showCatName val="0"/>
          <c:showSerName val="0"/>
          <c:showPercent val="0"/>
          <c:showBubbleSize val="0"/>
        </c:dLbls>
        <c:gapWidth val="150"/>
        <c:axId val="208347096"/>
        <c:axId val="208347480"/>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Example!$D$60:$S$60</c:f>
              <c:numCache>
                <c:formatCode>"$"#,##0_);[Red]\("$"#,##0\)</c:formatCode>
                <c:ptCount val="16"/>
                <c:pt idx="0">
                  <c:v>-126811.99999999999</c:v>
                </c:pt>
                <c:pt idx="1">
                  <c:v>-86269.9</c:v>
                </c:pt>
                <c:pt idx="2">
                  <c:v>-62535.804999999993</c:v>
                </c:pt>
                <c:pt idx="3">
                  <c:v>-42668.938749999987</c:v>
                </c:pt>
                <c:pt idx="4">
                  <c:v>-27605.952109374986</c:v>
                </c:pt>
                <c:pt idx="5">
                  <c:v>-14425.83879882811</c:v>
                </c:pt>
                <c:pt idx="6">
                  <c:v>-4449.2221807861206</c:v>
                </c:pt>
                <c:pt idx="7">
                  <c:v>3645.6560247421448</c:v>
                </c:pt>
                <c:pt idx="8">
                  <c:v>9490.7785961055888</c:v>
                </c:pt>
                <c:pt idx="9">
                  <c:v>14475.120441796797</c:v>
                </c:pt>
                <c:pt idx="10">
                  <c:v>18684.447346471716</c:v>
                </c:pt>
                <c:pt idx="11">
                  <c:v>25253.175770372571</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0485-4A5B-B523-651E62B309AA}"/>
            </c:ext>
          </c:extLst>
        </c:ser>
        <c:dLbls>
          <c:showLegendKey val="0"/>
          <c:showVal val="0"/>
          <c:showCatName val="0"/>
          <c:showSerName val="0"/>
          <c:showPercent val="0"/>
          <c:showBubbleSize val="0"/>
        </c:dLbls>
        <c:marker val="1"/>
        <c:smooth val="0"/>
        <c:axId val="208347096"/>
        <c:axId val="208347480"/>
      </c:lineChart>
      <c:catAx>
        <c:axId val="208347096"/>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208347480"/>
        <c:crosses val="autoZero"/>
        <c:auto val="1"/>
        <c:lblAlgn val="ctr"/>
        <c:lblOffset val="100"/>
        <c:noMultiLvlLbl val="0"/>
      </c:catAx>
      <c:valAx>
        <c:axId val="208347480"/>
        <c:scaling>
          <c:orientation val="minMax"/>
        </c:scaling>
        <c:delete val="0"/>
        <c:axPos val="l"/>
        <c:majorGridlines/>
        <c:numFmt formatCode="&quot;$&quot;#,##0_);[Red]\(&quot;$&quot;#,##0\)"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208347096"/>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Nominal Cash</a:t>
            </a:r>
            <a:r>
              <a:rPr lang="en-US" sz="1100" baseline="0">
                <a:latin typeface="Arial" panose="020B0604020202020204" pitchFamily="34" charset="0"/>
                <a:cs typeface="Arial" panose="020B0604020202020204" pitchFamily="34" charset="0"/>
              </a:rPr>
              <a:t> Flows, $/head</a:t>
            </a:r>
            <a:endParaRPr lang="en-US" sz="1100">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Example!$D$56:$S$56</c:f>
              <c:numCache>
                <c:formatCode>"$"#,##0_);[Red]\("$"#,##0\)</c:formatCode>
                <c:ptCount val="16"/>
                <c:pt idx="0">
                  <c:v>-1268.1199999999999</c:v>
                </c:pt>
                <c:pt idx="1">
                  <c:v>405.42099999999994</c:v>
                </c:pt>
                <c:pt idx="2">
                  <c:v>237.34095000000002</c:v>
                </c:pt>
                <c:pt idx="3">
                  <c:v>198.66866250000004</c:v>
                </c:pt>
                <c:pt idx="4">
                  <c:v>150.62986640625002</c:v>
                </c:pt>
                <c:pt idx="5">
                  <c:v>131.80113310546875</c:v>
                </c:pt>
                <c:pt idx="6">
                  <c:v>99.766166180419901</c:v>
                </c:pt>
                <c:pt idx="7">
                  <c:v>80.948782055282649</c:v>
                </c:pt>
                <c:pt idx="8">
                  <c:v>58.45122571363445</c:v>
                </c:pt>
                <c:pt idx="9">
                  <c:v>49.843418456912076</c:v>
                </c:pt>
                <c:pt idx="10">
                  <c:v>42.093269046749192</c:v>
                </c:pt>
                <c:pt idx="11">
                  <c:v>65.687284239008548</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3741-47D1-A1A3-8763D051C5B3}"/>
            </c:ext>
          </c:extLst>
        </c:ser>
        <c:dLbls>
          <c:showLegendKey val="0"/>
          <c:showVal val="0"/>
          <c:showCatName val="0"/>
          <c:showSerName val="0"/>
          <c:showPercent val="0"/>
          <c:showBubbleSize val="0"/>
        </c:dLbls>
        <c:gapWidth val="150"/>
        <c:axId val="208575936"/>
        <c:axId val="208576320"/>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Example!$D$61:$S$61</c:f>
              <c:numCache>
                <c:formatCode>"$"#,##0_);[Red]\("$"#,##0\)</c:formatCode>
                <c:ptCount val="16"/>
                <c:pt idx="0">
                  <c:v>-1268.1199999999999</c:v>
                </c:pt>
                <c:pt idx="1">
                  <c:v>-862.69899999999996</c:v>
                </c:pt>
                <c:pt idx="2">
                  <c:v>-625.35804999999993</c:v>
                </c:pt>
                <c:pt idx="3">
                  <c:v>-426.68938749999984</c:v>
                </c:pt>
                <c:pt idx="4">
                  <c:v>-276.05952109374988</c:v>
                </c:pt>
                <c:pt idx="5">
                  <c:v>-144.2583879882811</c:v>
                </c:pt>
                <c:pt idx="6">
                  <c:v>-44.492221807861206</c:v>
                </c:pt>
                <c:pt idx="7">
                  <c:v>36.45656024742145</c:v>
                </c:pt>
                <c:pt idx="8">
                  <c:v>94.907785961055893</c:v>
                </c:pt>
                <c:pt idx="9">
                  <c:v>144.75120441796795</c:v>
                </c:pt>
                <c:pt idx="10">
                  <c:v>186.84447346471717</c:v>
                </c:pt>
                <c:pt idx="11">
                  <c:v>252.5317577037257</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3741-47D1-A1A3-8763D051C5B3}"/>
            </c:ext>
          </c:extLst>
        </c:ser>
        <c:dLbls>
          <c:showLegendKey val="0"/>
          <c:showVal val="0"/>
          <c:showCatName val="0"/>
          <c:showSerName val="0"/>
          <c:showPercent val="0"/>
          <c:showBubbleSize val="0"/>
        </c:dLbls>
        <c:marker val="1"/>
        <c:smooth val="0"/>
        <c:axId val="208575936"/>
        <c:axId val="208576320"/>
      </c:lineChart>
      <c:catAx>
        <c:axId val="208575936"/>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208576320"/>
        <c:crosses val="autoZero"/>
        <c:auto val="1"/>
        <c:lblAlgn val="ctr"/>
        <c:lblOffset val="100"/>
        <c:noMultiLvlLbl val="0"/>
      </c:catAx>
      <c:valAx>
        <c:axId val="208576320"/>
        <c:scaling>
          <c:orientation val="minMax"/>
        </c:scaling>
        <c:delete val="0"/>
        <c:axPos val="l"/>
        <c:majorGridlines/>
        <c:numFmt formatCode="&quot;$&quot;#,##0_);[Red]\(&quot;$&quot;#,##0\)"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208575936"/>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Discounted Cash</a:t>
            </a:r>
            <a:r>
              <a:rPr lang="en-US" sz="1100" baseline="0">
                <a:latin typeface="Arial" panose="020B0604020202020204" pitchFamily="34" charset="0"/>
                <a:cs typeface="Arial" panose="020B0604020202020204" pitchFamily="34" charset="0"/>
              </a:rPr>
              <a:t> Flows, $/lot</a:t>
            </a:r>
            <a:endParaRPr lang="en-US" sz="1100">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Example!$D$67:$S$67</c:f>
              <c:numCache>
                <c:formatCode>"$"#,##0_);[Red]\("$"#,##0\)</c:formatCode>
                <c:ptCount val="16"/>
                <c:pt idx="0">
                  <c:v>-126811.99999999999</c:v>
                </c:pt>
                <c:pt idx="1">
                  <c:v>38611.523809523802</c:v>
                </c:pt>
                <c:pt idx="2">
                  <c:v>21527.523809523809</c:v>
                </c:pt>
                <c:pt idx="3">
                  <c:v>17161.746031746032</c:v>
                </c:pt>
                <c:pt idx="4">
                  <c:v>12392.356386999245</c:v>
                </c:pt>
                <c:pt idx="5">
                  <c:v>10326.963655832704</c:v>
                </c:pt>
                <c:pt idx="6">
                  <c:v>7444.7049267237744</c:v>
                </c:pt>
                <c:pt idx="7">
                  <c:v>5752.8788103461584</c:v>
                </c:pt>
                <c:pt idx="8" formatCode="&quot;$&quot;#,##0.0_);[Red]\(&quot;$&quot;#,##0.0\)">
                  <c:v>3956.2090321811133</c:v>
                </c:pt>
                <c:pt idx="9">
                  <c:v>3212.9511952100247</c:v>
                </c:pt>
                <c:pt idx="10">
                  <c:v>2584.1615752656335</c:v>
                </c:pt>
                <c:pt idx="11">
                  <c:v>3840.5994650882262</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C288-4137-AA95-E4D69556E61B}"/>
            </c:ext>
          </c:extLst>
        </c:ser>
        <c:dLbls>
          <c:showLegendKey val="0"/>
          <c:showVal val="0"/>
          <c:showCatName val="0"/>
          <c:showSerName val="0"/>
          <c:showPercent val="0"/>
          <c:showBubbleSize val="0"/>
        </c:dLbls>
        <c:gapWidth val="150"/>
        <c:axId val="209040360"/>
        <c:axId val="209040744"/>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Example!$D$72:$S$72</c:f>
              <c:numCache>
                <c:formatCode>"$"#,##0_);[Red]\("$"#,##0\)</c:formatCode>
                <c:ptCount val="16"/>
                <c:pt idx="0">
                  <c:v>-126811.99999999999</c:v>
                </c:pt>
                <c:pt idx="1">
                  <c:v>-88200.476190476184</c:v>
                </c:pt>
                <c:pt idx="2">
                  <c:v>-66672.952380952367</c:v>
                </c:pt>
                <c:pt idx="3">
                  <c:v>-49511.206349206332</c:v>
                </c:pt>
                <c:pt idx="4">
                  <c:v>-37118.849962207089</c:v>
                </c:pt>
                <c:pt idx="5">
                  <c:v>-26791.886306374385</c:v>
                </c:pt>
                <c:pt idx="6">
                  <c:v>-19347.18137965061</c:v>
                </c:pt>
                <c:pt idx="7">
                  <c:v>-13594.302569304451</c:v>
                </c:pt>
                <c:pt idx="8">
                  <c:v>-9638.0935371233372</c:v>
                </c:pt>
                <c:pt idx="9">
                  <c:v>-6425.1423419133125</c:v>
                </c:pt>
                <c:pt idx="10">
                  <c:v>-3840.980766647679</c:v>
                </c:pt>
                <c:pt idx="11">
                  <c:v>-0.3813015594528224</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C288-4137-AA95-E4D69556E61B}"/>
            </c:ext>
          </c:extLst>
        </c:ser>
        <c:dLbls>
          <c:showLegendKey val="0"/>
          <c:showVal val="0"/>
          <c:showCatName val="0"/>
          <c:showSerName val="0"/>
          <c:showPercent val="0"/>
          <c:showBubbleSize val="0"/>
        </c:dLbls>
        <c:marker val="1"/>
        <c:smooth val="0"/>
        <c:axId val="209040360"/>
        <c:axId val="209040744"/>
      </c:lineChart>
      <c:catAx>
        <c:axId val="209040360"/>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209040744"/>
        <c:crosses val="autoZero"/>
        <c:auto val="1"/>
        <c:lblAlgn val="ctr"/>
        <c:lblOffset val="100"/>
        <c:noMultiLvlLbl val="0"/>
      </c:catAx>
      <c:valAx>
        <c:axId val="209040744"/>
        <c:scaling>
          <c:orientation val="minMax"/>
        </c:scaling>
        <c:delete val="0"/>
        <c:axPos val="l"/>
        <c:majorGridlines/>
        <c:numFmt formatCode="&quot;$&quot;#,##0_);[Red]\(&quot;$&quot;#,##0\)"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209040360"/>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Discounted Cash</a:t>
            </a:r>
            <a:r>
              <a:rPr lang="en-US" sz="1100" baseline="0">
                <a:latin typeface="Arial" panose="020B0604020202020204" pitchFamily="34" charset="0"/>
                <a:cs typeface="Arial" panose="020B0604020202020204" pitchFamily="34" charset="0"/>
              </a:rPr>
              <a:t> Flows, $/head</a:t>
            </a:r>
            <a:endParaRPr lang="en-US" sz="1100">
              <a:latin typeface="Arial" panose="020B0604020202020204" pitchFamily="34" charset="0"/>
              <a:cs typeface="Arial" panose="020B0604020202020204" pitchFamily="34" charset="0"/>
            </a:endParaRPr>
          </a:p>
        </c:rich>
      </c:tx>
      <c:layout/>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Example!$D$68:$S$68</c:f>
              <c:numCache>
                <c:formatCode>"$"#,##0.00_);[Red]\("$"#,##0.00\)</c:formatCode>
                <c:ptCount val="16"/>
                <c:pt idx="0" formatCode="&quot;$&quot;#,##0_);[Red]\(&quot;$&quot;#,##0\)">
                  <c:v>-1268.1199999999999</c:v>
                </c:pt>
                <c:pt idx="1">
                  <c:v>386.115238095238</c:v>
                </c:pt>
                <c:pt idx="2" formatCode="&quot;$&quot;#,##0_);[Red]\(&quot;$&quot;#,##0\)">
                  <c:v>215.27523809523808</c:v>
                </c:pt>
                <c:pt idx="3" formatCode="&quot;$&quot;#,##0_);[Red]\(&quot;$&quot;#,##0\)">
                  <c:v>171.61746031746031</c:v>
                </c:pt>
                <c:pt idx="4" formatCode="&quot;$&quot;#,##0_);[Red]\(&quot;$&quot;#,##0\)">
                  <c:v>123.92356386999245</c:v>
                </c:pt>
                <c:pt idx="5" formatCode="&quot;$&quot;#,##0_);[Red]\(&quot;$&quot;#,##0\)">
                  <c:v>103.26963655832704</c:v>
                </c:pt>
                <c:pt idx="6" formatCode="&quot;$&quot;#,##0_);[Red]\(&quot;$&quot;#,##0\)">
                  <c:v>74.447049267237745</c:v>
                </c:pt>
                <c:pt idx="7" formatCode="&quot;$&quot;#,##0_);[Red]\(&quot;$&quot;#,##0\)">
                  <c:v>57.528788103461586</c:v>
                </c:pt>
                <c:pt idx="8" formatCode="&quot;$&quot;#,##0_);[Red]\(&quot;$&quot;#,##0\)">
                  <c:v>39.562090321811134</c:v>
                </c:pt>
                <c:pt idx="9" formatCode="&quot;$&quot;#,##0_);[Red]\(&quot;$&quot;#,##0\)">
                  <c:v>32.129511952100245</c:v>
                </c:pt>
                <c:pt idx="10" formatCode="&quot;$&quot;#,##0_);[Red]\(&quot;$&quot;#,##0\)">
                  <c:v>25.841615752656335</c:v>
                </c:pt>
                <c:pt idx="11" formatCode="&quot;$&quot;#,##0_);[Red]\(&quot;$&quot;#,##0\)">
                  <c:v>38.405994650882263</c:v>
                </c:pt>
                <c:pt idx="12" formatCode="&quot;$&quot;#,##0_);[Red]\(&quot;$&quot;#,##0\)">
                  <c:v>0</c:v>
                </c:pt>
                <c:pt idx="13" formatCode="&quot;$&quot;#,##0_);[Red]\(&quot;$&quot;#,##0\)">
                  <c:v>0</c:v>
                </c:pt>
                <c:pt idx="14" formatCode="&quot;$&quot;#,##0_);[Red]\(&quot;$&quot;#,##0\)">
                  <c:v>0</c:v>
                </c:pt>
                <c:pt idx="15" formatCode="&quot;$&quot;#,##0_);[Red]\(&quot;$&quot;#,##0\)">
                  <c:v>0</c:v>
                </c:pt>
              </c:numCache>
            </c:numRef>
          </c:val>
          <c:extLst xmlns:c16r2="http://schemas.microsoft.com/office/drawing/2015/06/chart">
            <c:ext xmlns:c16="http://schemas.microsoft.com/office/drawing/2014/chart" uri="{C3380CC4-5D6E-409C-BE32-E72D297353CC}">
              <c16:uniqueId val="{00000000-F538-4797-B22C-EFABA548A065}"/>
            </c:ext>
          </c:extLst>
        </c:ser>
        <c:dLbls>
          <c:showLegendKey val="0"/>
          <c:showVal val="0"/>
          <c:showCatName val="0"/>
          <c:showSerName val="0"/>
          <c:showPercent val="0"/>
          <c:showBubbleSize val="0"/>
        </c:dLbls>
        <c:gapWidth val="150"/>
        <c:axId val="209119008"/>
        <c:axId val="209129632"/>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Example!$D$45:$S$46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lvl>
              </c:multiLvlStrCache>
            </c:multiLvlStrRef>
          </c:cat>
          <c:val>
            <c:numRef>
              <c:f>Example!$D$73:$S$73</c:f>
              <c:numCache>
                <c:formatCode>"$"#,##0_);[Red]\("$"#,##0\)</c:formatCode>
                <c:ptCount val="16"/>
                <c:pt idx="0">
                  <c:v>-1268.1199999999999</c:v>
                </c:pt>
                <c:pt idx="1">
                  <c:v>-882.00476190476184</c:v>
                </c:pt>
                <c:pt idx="2">
                  <c:v>-666.7295238095237</c:v>
                </c:pt>
                <c:pt idx="3">
                  <c:v>-495.11206349206333</c:v>
                </c:pt>
                <c:pt idx="4">
                  <c:v>-371.18849962207088</c:v>
                </c:pt>
                <c:pt idx="5">
                  <c:v>-267.91886306374386</c:v>
                </c:pt>
                <c:pt idx="6">
                  <c:v>-193.4718137965061</c:v>
                </c:pt>
                <c:pt idx="7">
                  <c:v>-135.94302569304452</c:v>
                </c:pt>
                <c:pt idx="8">
                  <c:v>-96.380935371233377</c:v>
                </c:pt>
                <c:pt idx="9">
                  <c:v>-64.251423419133118</c:v>
                </c:pt>
                <c:pt idx="10" formatCode="&quot;$&quot;#,##0.00_);[Red]\(&quot;$&quot;#,##0.00\)">
                  <c:v>-38.409807666476787</c:v>
                </c:pt>
                <c:pt idx="11">
                  <c:v>-3.8130155945282239E-3</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F538-4797-B22C-EFABA548A065}"/>
            </c:ext>
          </c:extLst>
        </c:ser>
        <c:dLbls>
          <c:showLegendKey val="0"/>
          <c:showVal val="0"/>
          <c:showCatName val="0"/>
          <c:showSerName val="0"/>
          <c:showPercent val="0"/>
          <c:showBubbleSize val="0"/>
        </c:dLbls>
        <c:marker val="1"/>
        <c:smooth val="0"/>
        <c:axId val="209119008"/>
        <c:axId val="209129632"/>
      </c:lineChart>
      <c:catAx>
        <c:axId val="209119008"/>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209129632"/>
        <c:crosses val="autoZero"/>
        <c:auto val="1"/>
        <c:lblAlgn val="ctr"/>
        <c:lblOffset val="100"/>
        <c:noMultiLvlLbl val="0"/>
      </c:catAx>
      <c:valAx>
        <c:axId val="209129632"/>
        <c:scaling>
          <c:orientation val="minMax"/>
        </c:scaling>
        <c:delete val="0"/>
        <c:axPos val="l"/>
        <c:majorGridlines/>
        <c:numFmt formatCode="&quot;$&quot;#,##0_);[Red]\(&quot;$&quot;#,##0\)" sourceLinked="1"/>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en-US"/>
          </a:p>
        </c:txPr>
        <c:crossAx val="209119008"/>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Nominal Cash</a:t>
            </a:r>
            <a:r>
              <a:rPr lang="en-US" sz="1100" baseline="0">
                <a:latin typeface="Arial" panose="020B0604020202020204" pitchFamily="34" charset="0"/>
                <a:cs typeface="Arial" panose="020B0604020202020204" pitchFamily="34" charset="0"/>
              </a:rPr>
              <a:t> Flows, $/lot</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Blank!$D$55:$S$55</c:f>
              <c:numCache>
                <c:formatCode>"$"#,##0_);[Red]\("$"#,##0\)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0485-4A5B-B523-651E62B309AA}"/>
            </c:ext>
          </c:extLst>
        </c:ser>
        <c:dLbls>
          <c:showLegendKey val="0"/>
          <c:showVal val="0"/>
          <c:showCatName val="0"/>
          <c:showSerName val="0"/>
          <c:showPercent val="0"/>
          <c:showBubbleSize val="0"/>
        </c:dLbls>
        <c:gapWidth val="150"/>
        <c:axId val="416624288"/>
        <c:axId val="416626248"/>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Blank!$D$60:$S$60</c:f>
              <c:numCache>
                <c:formatCode>"$"#,##0_);[Red]\("$"#,##0\)</c:formatCode>
                <c:ptCount val="16"/>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0485-4A5B-B523-651E62B309AA}"/>
            </c:ext>
          </c:extLst>
        </c:ser>
        <c:dLbls>
          <c:showLegendKey val="0"/>
          <c:showVal val="0"/>
          <c:showCatName val="0"/>
          <c:showSerName val="0"/>
          <c:showPercent val="0"/>
          <c:showBubbleSize val="0"/>
        </c:dLbls>
        <c:marker val="1"/>
        <c:smooth val="0"/>
        <c:axId val="416624288"/>
        <c:axId val="416626248"/>
      </c:lineChart>
      <c:catAx>
        <c:axId val="416624288"/>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416626248"/>
        <c:crosses val="autoZero"/>
        <c:auto val="1"/>
        <c:lblAlgn val="ctr"/>
        <c:lblOffset val="100"/>
        <c:noMultiLvlLbl val="0"/>
      </c:catAx>
      <c:valAx>
        <c:axId val="416626248"/>
        <c:scaling>
          <c:orientation val="minMax"/>
        </c:scaling>
        <c:delete val="0"/>
        <c:axPos val="l"/>
        <c:majorGridlines/>
        <c:numFmt formatCode="&quot;$&quot;#,##0_);[Red]\(&quot;$&quot;#,##0\)"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416624288"/>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Nominal Cash</a:t>
            </a:r>
            <a:r>
              <a:rPr lang="en-US" sz="1100" baseline="0">
                <a:latin typeface="Arial" panose="020B0604020202020204" pitchFamily="34" charset="0"/>
                <a:cs typeface="Arial" panose="020B0604020202020204" pitchFamily="34" charset="0"/>
              </a:rPr>
              <a:t> Flows, $/head</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Blank!$D$56:$S$56</c:f>
              <c:numCache>
                <c:formatCode>"$"#,##0_);[Red]\("$"#,##0\)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3741-47D1-A1A3-8763D051C5B3}"/>
            </c:ext>
          </c:extLst>
        </c:ser>
        <c:dLbls>
          <c:showLegendKey val="0"/>
          <c:showVal val="0"/>
          <c:showCatName val="0"/>
          <c:showSerName val="0"/>
          <c:showPercent val="0"/>
          <c:showBubbleSize val="0"/>
        </c:dLbls>
        <c:gapWidth val="150"/>
        <c:axId val="416623896"/>
        <c:axId val="416623112"/>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Blank!$D$61:$S$61</c:f>
              <c:numCache>
                <c:formatCode>"$"#,##0_);[Red]\("$"#,##0\)</c:formatCode>
                <c:ptCount val="16"/>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3741-47D1-A1A3-8763D051C5B3}"/>
            </c:ext>
          </c:extLst>
        </c:ser>
        <c:dLbls>
          <c:showLegendKey val="0"/>
          <c:showVal val="0"/>
          <c:showCatName val="0"/>
          <c:showSerName val="0"/>
          <c:showPercent val="0"/>
          <c:showBubbleSize val="0"/>
        </c:dLbls>
        <c:marker val="1"/>
        <c:smooth val="0"/>
        <c:axId val="416623896"/>
        <c:axId val="416623112"/>
      </c:lineChart>
      <c:catAx>
        <c:axId val="416623896"/>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416623112"/>
        <c:crosses val="autoZero"/>
        <c:auto val="1"/>
        <c:lblAlgn val="ctr"/>
        <c:lblOffset val="100"/>
        <c:noMultiLvlLbl val="0"/>
      </c:catAx>
      <c:valAx>
        <c:axId val="416623112"/>
        <c:scaling>
          <c:orientation val="minMax"/>
        </c:scaling>
        <c:delete val="0"/>
        <c:axPos val="l"/>
        <c:majorGridlines/>
        <c:numFmt formatCode="&quot;$&quot;#,##0_);[Red]\(&quot;$&quot;#,##0\)"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416623896"/>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Discounted Cash</a:t>
            </a:r>
            <a:r>
              <a:rPr lang="en-US" sz="1100" baseline="0">
                <a:latin typeface="Arial" panose="020B0604020202020204" pitchFamily="34" charset="0"/>
                <a:cs typeface="Arial" panose="020B0604020202020204" pitchFamily="34" charset="0"/>
              </a:rPr>
              <a:t> Flows, $/lot</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Blank!$D$67:$S$67</c:f>
              <c:numCache>
                <c:formatCode>"$"#,##0_);[Red]\("$"#,##0\)</c:formatCode>
                <c:ptCount val="16"/>
                <c:pt idx="0">
                  <c:v>0</c:v>
                </c:pt>
                <c:pt idx="1">
                  <c:v>0</c:v>
                </c:pt>
                <c:pt idx="2">
                  <c:v>0</c:v>
                </c:pt>
                <c:pt idx="3">
                  <c:v>0</c:v>
                </c:pt>
                <c:pt idx="4">
                  <c:v>0</c:v>
                </c:pt>
                <c:pt idx="5">
                  <c:v>0</c:v>
                </c:pt>
                <c:pt idx="6">
                  <c:v>0</c:v>
                </c:pt>
                <c:pt idx="7">
                  <c:v>0</c:v>
                </c:pt>
                <c:pt idx="8" formatCode="&quot;$&quot;#,##0.0_);[Red]\(&quot;$&quot;#,##0.0\)">
                  <c:v>0</c:v>
                </c:pt>
                <c:pt idx="9">
                  <c:v>0</c:v>
                </c:pt>
                <c:pt idx="10">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C288-4137-AA95-E4D69556E61B}"/>
            </c:ext>
          </c:extLst>
        </c:ser>
        <c:dLbls>
          <c:showLegendKey val="0"/>
          <c:showVal val="0"/>
          <c:showCatName val="0"/>
          <c:showSerName val="0"/>
          <c:showPercent val="0"/>
          <c:showBubbleSize val="0"/>
        </c:dLbls>
        <c:gapWidth val="150"/>
        <c:axId val="434273072"/>
        <c:axId val="434274640"/>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Blank!$D$72:$S$72</c:f>
              <c:numCache>
                <c:formatCode>"$"#,##0_);[Red]\("$"#,##0\)</c:formatCode>
                <c:ptCount val="16"/>
                <c:pt idx="0">
                  <c:v>0</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C288-4137-AA95-E4D69556E61B}"/>
            </c:ext>
          </c:extLst>
        </c:ser>
        <c:dLbls>
          <c:showLegendKey val="0"/>
          <c:showVal val="0"/>
          <c:showCatName val="0"/>
          <c:showSerName val="0"/>
          <c:showPercent val="0"/>
          <c:showBubbleSize val="0"/>
        </c:dLbls>
        <c:marker val="1"/>
        <c:smooth val="0"/>
        <c:axId val="434273072"/>
        <c:axId val="434274640"/>
      </c:lineChart>
      <c:catAx>
        <c:axId val="434273072"/>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434274640"/>
        <c:crosses val="autoZero"/>
        <c:auto val="1"/>
        <c:lblAlgn val="ctr"/>
        <c:lblOffset val="100"/>
        <c:noMultiLvlLbl val="0"/>
      </c:catAx>
      <c:valAx>
        <c:axId val="434274640"/>
        <c:scaling>
          <c:orientation val="minMax"/>
        </c:scaling>
        <c:delete val="0"/>
        <c:axPos val="l"/>
        <c:majorGridlines/>
        <c:numFmt formatCode="&quot;$&quot;#,##0_);[Red]\(&quot;$&quot;#,##0\)" sourceLinked="1"/>
        <c:majorTickMark val="out"/>
        <c:minorTickMark val="none"/>
        <c:tickLblPos val="nextTo"/>
        <c:txPr>
          <a:bodyPr/>
          <a:lstStyle/>
          <a:p>
            <a:pPr>
              <a:defRPr sz="1000" b="1">
                <a:latin typeface="Arial" panose="020B0604020202020204" pitchFamily="34" charset="0"/>
                <a:cs typeface="Arial" panose="020B0604020202020204" pitchFamily="34" charset="0"/>
              </a:defRPr>
            </a:pPr>
            <a:endParaRPr lang="en-US"/>
          </a:p>
        </c:txPr>
        <c:crossAx val="434273072"/>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latin typeface="Arial" panose="020B0604020202020204" pitchFamily="34" charset="0"/>
                <a:cs typeface="Arial" panose="020B0604020202020204" pitchFamily="34" charset="0"/>
              </a:defRPr>
            </a:pPr>
            <a:r>
              <a:rPr lang="en-US" sz="1100">
                <a:latin typeface="Arial" panose="020B0604020202020204" pitchFamily="34" charset="0"/>
                <a:cs typeface="Arial" panose="020B0604020202020204" pitchFamily="34" charset="0"/>
              </a:rPr>
              <a:t>Discounted Cash</a:t>
            </a:r>
            <a:r>
              <a:rPr lang="en-US" sz="1100" baseline="0">
                <a:latin typeface="Arial" panose="020B0604020202020204" pitchFamily="34" charset="0"/>
                <a:cs typeface="Arial" panose="020B0604020202020204" pitchFamily="34" charset="0"/>
              </a:rPr>
              <a:t> Flows, $/head</a:t>
            </a:r>
            <a:endParaRPr lang="en-US" sz="11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729160502530404"/>
          <c:y val="0.19878064712125582"/>
          <c:w val="0.81275605286020214"/>
          <c:h val="0.60672223609353571"/>
        </c:manualLayout>
      </c:layout>
      <c:barChart>
        <c:barDir val="col"/>
        <c:grouping val="clustered"/>
        <c:varyColors val="0"/>
        <c:ser>
          <c:idx val="0"/>
          <c:order val="0"/>
          <c:tx>
            <c:v>Annual pre-tax cash flows</c:v>
          </c:tx>
          <c:spPr>
            <a:solidFill>
              <a:srgbClr val="0000FF"/>
            </a:solidFill>
            <a:ln w="12700">
              <a:solidFill>
                <a:schemeClr val="tx1"/>
              </a:solidFill>
            </a:ln>
          </c:spPr>
          <c:invertIfNegative val="0"/>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Blank!$D$68:$S$68</c:f>
              <c:numCache>
                <c:formatCode>"$"#,##0.00_);[Red]\("$"#,##0.00\)</c:formatCode>
                <c:ptCount val="16"/>
                <c:pt idx="0" formatCode="&quot;$&quot;#,##0_);[Red]\(&quot;$&quot;#,##0\)">
                  <c:v>0</c:v>
                </c:pt>
                <c:pt idx="1">
                  <c:v>0</c:v>
                </c:pt>
                <c:pt idx="2" formatCode="&quot;$&quot;#,##0_);[Red]\(&quot;$&quot;#,##0\)">
                  <c:v>0</c:v>
                </c:pt>
                <c:pt idx="3" formatCode="&quot;$&quot;#,##0_);[Red]\(&quot;$&quot;#,##0\)">
                  <c:v>0</c:v>
                </c:pt>
                <c:pt idx="4" formatCode="&quot;$&quot;#,##0_);[Red]\(&quot;$&quot;#,##0\)">
                  <c:v>0</c:v>
                </c:pt>
                <c:pt idx="5" formatCode="&quot;$&quot;#,##0_);[Red]\(&quot;$&quot;#,##0\)">
                  <c:v>0</c:v>
                </c:pt>
                <c:pt idx="6" formatCode="&quot;$&quot;#,##0_);[Red]\(&quot;$&quot;#,##0\)">
                  <c:v>0</c:v>
                </c:pt>
                <c:pt idx="7" formatCode="&quot;$&quot;#,##0_);[Red]\(&quot;$&quot;#,##0\)">
                  <c:v>0</c:v>
                </c:pt>
                <c:pt idx="8" formatCode="&quot;$&quot;#,##0_);[Red]\(&quot;$&quot;#,##0\)">
                  <c:v>0</c:v>
                </c:pt>
                <c:pt idx="9" formatCode="&quot;$&quot;#,##0_);[Red]\(&quot;$&quot;#,##0\)">
                  <c:v>0</c:v>
                </c:pt>
                <c:pt idx="10" formatCode="&quot;$&quot;#,##0_);[Red]\(&quot;$&quot;#,##0\)">
                  <c:v>0</c:v>
                </c:pt>
                <c:pt idx="11" formatCode="&quot;$&quot;#,##0_);[Red]\(&quot;$&quot;#,##0\)">
                  <c:v>0</c:v>
                </c:pt>
                <c:pt idx="12" formatCode="&quot;$&quot;#,##0_);[Red]\(&quot;$&quot;#,##0\)">
                  <c:v>0</c:v>
                </c:pt>
                <c:pt idx="13" formatCode="&quot;$&quot;#,##0_);[Red]\(&quot;$&quot;#,##0\)">
                  <c:v>0</c:v>
                </c:pt>
                <c:pt idx="14" formatCode="&quot;$&quot;#,##0_);[Red]\(&quot;$&quot;#,##0\)">
                  <c:v>0</c:v>
                </c:pt>
                <c:pt idx="15" formatCode="&quot;$&quot;#,##0_);[Red]\(&quot;$&quot;#,##0\)">
                  <c:v>0</c:v>
                </c:pt>
              </c:numCache>
            </c:numRef>
          </c:val>
          <c:extLst xmlns:c16r2="http://schemas.microsoft.com/office/drawing/2015/06/chart">
            <c:ext xmlns:c16="http://schemas.microsoft.com/office/drawing/2014/chart" uri="{C3380CC4-5D6E-409C-BE32-E72D297353CC}">
              <c16:uniqueId val="{00000000-F538-4797-B22C-EFABA548A065}"/>
            </c:ext>
          </c:extLst>
        </c:ser>
        <c:dLbls>
          <c:showLegendKey val="0"/>
          <c:showVal val="0"/>
          <c:showCatName val="0"/>
          <c:showSerName val="0"/>
          <c:showPercent val="0"/>
          <c:showBubbleSize val="0"/>
        </c:dLbls>
        <c:gapWidth val="150"/>
        <c:axId val="434275032"/>
        <c:axId val="416074384"/>
      </c:barChart>
      <c:lineChart>
        <c:grouping val="standard"/>
        <c:varyColors val="0"/>
        <c:ser>
          <c:idx val="1"/>
          <c:order val="1"/>
          <c:tx>
            <c:v>Cumulative value of annual pre-tax cash flows</c:v>
          </c:tx>
          <c:spPr>
            <a:ln w="31750">
              <a:solidFill>
                <a:srgbClr val="FF0000"/>
              </a:solidFill>
            </a:ln>
          </c:spPr>
          <c:marker>
            <c:symbol val="circle"/>
            <c:size val="5"/>
            <c:spPr>
              <a:solidFill>
                <a:srgbClr val="FF0000"/>
              </a:solidFill>
              <a:ln>
                <a:solidFill>
                  <a:srgbClr val="FF0000"/>
                </a:solidFill>
              </a:ln>
            </c:spPr>
          </c:marker>
          <c:cat>
            <c:multiLvlStrRef>
              <c:f>Blank!$D$45:$S$46</c:f>
              <c:multiLvlStrCache>
                <c:ptCount val="16"/>
                <c:lvl>
                  <c:pt idx="0">
                    <c:v>Year 0</c:v>
                  </c:pt>
                  <c:pt idx="1">
                    <c:v>Year 1</c:v>
                  </c:pt>
                  <c:pt idx="2">
                    <c:v>Year 2</c:v>
                  </c:pt>
                  <c:pt idx="3">
                    <c:v>Year 3</c:v>
                  </c:pt>
                  <c:pt idx="4">
                    <c:v>Year 4</c:v>
                  </c:pt>
                  <c:pt idx="5">
                    <c:v>Year 5</c:v>
                  </c:pt>
                  <c:pt idx="6">
                    <c:v>Year 6</c:v>
                  </c:pt>
                  <c:pt idx="7">
                    <c:v>Year 7</c:v>
                  </c:pt>
                  <c:pt idx="8">
                    <c:v>Year 8</c:v>
                  </c:pt>
                  <c:pt idx="9">
                    <c:v>Year 9</c:v>
                  </c:pt>
                  <c:pt idx="10">
                    <c:v>Year 10</c:v>
                  </c:pt>
                  <c:pt idx="11">
                    <c:v>Year 11</c:v>
                  </c:pt>
                  <c:pt idx="12">
                    <c:v>Year 12</c:v>
                  </c:pt>
                  <c:pt idx="13">
                    <c:v>Year 13</c:v>
                  </c:pt>
                  <c:pt idx="14">
                    <c:v>Year 14</c:v>
                  </c:pt>
                  <c:pt idx="15">
                    <c:v>Year 15</c:v>
                  </c:pt>
                </c:lvl>
                <c:lvl>
                  <c:pt idx="0">
                    <c:v>Initial</c:v>
                  </c:pt>
                  <c:pt idx="1">
                    <c:v>0</c:v>
                  </c:pt>
                  <c:pt idx="2">
                    <c:v>1</c:v>
                  </c:pt>
                  <c:pt idx="3">
                    <c:v>2</c:v>
                  </c:pt>
                  <c:pt idx="4">
                    <c:v>3</c:v>
                  </c:pt>
                  <c:pt idx="5">
                    <c:v>4</c:v>
                  </c:pt>
                  <c:pt idx="6">
                    <c:v>5</c:v>
                  </c:pt>
                  <c:pt idx="7">
                    <c:v>6</c:v>
                  </c:pt>
                  <c:pt idx="8">
                    <c:v>7</c:v>
                  </c:pt>
                  <c:pt idx="9">
                    <c:v>8</c:v>
                  </c:pt>
                  <c:pt idx="10">
                    <c:v>9</c:v>
                  </c:pt>
                  <c:pt idx="11">
                    <c:v>10</c:v>
                  </c:pt>
                  <c:pt idx="12">
                    <c:v>11</c:v>
                  </c:pt>
                  <c:pt idx="13">
                    <c:v>12</c:v>
                  </c:pt>
                  <c:pt idx="14">
                    <c:v>13</c:v>
                  </c:pt>
                  <c:pt idx="15">
                    <c:v>14</c:v>
                  </c:pt>
                </c:lvl>
              </c:multiLvlStrCache>
            </c:multiLvlStrRef>
          </c:cat>
          <c:val>
            <c:numRef>
              <c:f>Blank!$D$73:$S$73</c:f>
              <c:numCache>
                <c:formatCode>"$"#,##0_);[Red]\("$"#,##0\)</c:formatCode>
                <c:ptCount val="16"/>
                <c:pt idx="0">
                  <c:v>0</c:v>
                </c:pt>
                <c:pt idx="1">
                  <c:v>#N/A</c:v>
                </c:pt>
                <c:pt idx="2">
                  <c:v>#N/A</c:v>
                </c:pt>
                <c:pt idx="3">
                  <c:v>#N/A</c:v>
                </c:pt>
                <c:pt idx="4">
                  <c:v>#N/A</c:v>
                </c:pt>
                <c:pt idx="5">
                  <c:v>#N/A</c:v>
                </c:pt>
                <c:pt idx="6">
                  <c:v>#N/A</c:v>
                </c:pt>
                <c:pt idx="7">
                  <c:v>#N/A</c:v>
                </c:pt>
                <c:pt idx="8">
                  <c:v>#N/A</c:v>
                </c:pt>
                <c:pt idx="9">
                  <c:v>#N/A</c:v>
                </c:pt>
                <c:pt idx="10" formatCode="&quot;$&quot;#,##0.00_);[Red]\(&quot;$&quot;#,##0.00\)">
                  <c:v>#N/A</c:v>
                </c:pt>
                <c:pt idx="11">
                  <c:v>#N/A</c:v>
                </c:pt>
                <c:pt idx="12">
                  <c:v>#N/A</c:v>
                </c:pt>
                <c:pt idx="13">
                  <c:v>#N/A</c:v>
                </c:pt>
                <c:pt idx="14">
                  <c:v>#N/A</c:v>
                </c:pt>
                <c:pt idx="15">
                  <c:v>#N/A</c:v>
                </c:pt>
              </c:numCache>
            </c:numRef>
          </c:val>
          <c:smooth val="0"/>
          <c:extLst xmlns:c16r2="http://schemas.microsoft.com/office/drawing/2015/06/chart">
            <c:ext xmlns:c16="http://schemas.microsoft.com/office/drawing/2014/chart" uri="{C3380CC4-5D6E-409C-BE32-E72D297353CC}">
              <c16:uniqueId val="{00000001-F538-4797-B22C-EFABA548A065}"/>
            </c:ext>
          </c:extLst>
        </c:ser>
        <c:dLbls>
          <c:showLegendKey val="0"/>
          <c:showVal val="0"/>
          <c:showCatName val="0"/>
          <c:showSerName val="0"/>
          <c:showPercent val="0"/>
          <c:showBubbleSize val="0"/>
        </c:dLbls>
        <c:marker val="1"/>
        <c:smooth val="0"/>
        <c:axId val="434275032"/>
        <c:axId val="416074384"/>
      </c:lineChart>
      <c:catAx>
        <c:axId val="434275032"/>
        <c:scaling>
          <c:orientation val="minMax"/>
        </c:scaling>
        <c:delete val="0"/>
        <c:axPos val="b"/>
        <c:numFmt formatCode="General" sourceLinked="0"/>
        <c:majorTickMark val="out"/>
        <c:minorTickMark val="none"/>
        <c:tickLblPos val="low"/>
        <c:txPr>
          <a:bodyPr rot="-5400000" vert="horz"/>
          <a:lstStyle/>
          <a:p>
            <a:pPr>
              <a:defRPr sz="900" b="1">
                <a:latin typeface="Arial" panose="020B0604020202020204" pitchFamily="34" charset="0"/>
                <a:cs typeface="Arial" panose="020B0604020202020204" pitchFamily="34" charset="0"/>
              </a:defRPr>
            </a:pPr>
            <a:endParaRPr lang="en-US"/>
          </a:p>
        </c:txPr>
        <c:crossAx val="416074384"/>
        <c:crosses val="autoZero"/>
        <c:auto val="1"/>
        <c:lblAlgn val="ctr"/>
        <c:lblOffset val="100"/>
        <c:noMultiLvlLbl val="0"/>
      </c:catAx>
      <c:valAx>
        <c:axId val="416074384"/>
        <c:scaling>
          <c:orientation val="minMax"/>
        </c:scaling>
        <c:delete val="0"/>
        <c:axPos val="l"/>
        <c:majorGridlines/>
        <c:numFmt formatCode="&quot;$&quot;#,##0_);[Red]\(&quot;$&quot;#,##0\)" sourceLinked="1"/>
        <c:majorTickMark val="out"/>
        <c:minorTickMark val="none"/>
        <c:tickLblPos val="nextTo"/>
        <c:txPr>
          <a:bodyPr/>
          <a:lstStyle/>
          <a:p>
            <a:pPr>
              <a:defRPr sz="900" b="1">
                <a:latin typeface="Arial" panose="020B0604020202020204" pitchFamily="34" charset="0"/>
                <a:cs typeface="Arial" panose="020B0604020202020204" pitchFamily="34" charset="0"/>
              </a:defRPr>
            </a:pPr>
            <a:endParaRPr lang="en-US"/>
          </a:p>
        </c:txPr>
        <c:crossAx val="434275032"/>
        <c:crosses val="autoZero"/>
        <c:crossBetween val="between"/>
      </c:valAx>
      <c:spPr>
        <a:ln w="25400">
          <a:solidFill>
            <a:schemeClr val="tx1"/>
          </a:solidFill>
        </a:ln>
      </c:spPr>
    </c:plotArea>
    <c:legend>
      <c:legendPos val="t"/>
      <c:layout>
        <c:manualLayout>
          <c:xMode val="edge"/>
          <c:yMode val="edge"/>
          <c:x val="3.8371587426963026E-2"/>
          <c:y val="6.7846183537834281E-2"/>
          <c:w val="0.93142564572275388"/>
          <c:h val="0.11624461370023689"/>
        </c:manualLayout>
      </c:layout>
      <c:overlay val="0"/>
      <c:txPr>
        <a:bodyPr/>
        <a:lstStyle/>
        <a:p>
          <a:pPr>
            <a:defRPr sz="1000" b="1">
              <a:latin typeface="Arial" panose="020B0604020202020204" pitchFamily="34" charset="0"/>
              <a:cs typeface="Arial" panose="020B0604020202020204" pitchFamily="34" charset="0"/>
            </a:defRPr>
          </a:pPr>
          <a:endParaRPr lang="en-US"/>
        </a:p>
      </c:txPr>
    </c:legend>
    <c:plotVisOnly val="1"/>
    <c:dispBlanksAs val="gap"/>
    <c:showDLblsOverMax val="0"/>
  </c:chart>
  <c:spPr>
    <a:ln w="38100">
      <a:solidFill>
        <a:schemeClr val="tx1"/>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image" Target="../media/image1.png"/><Relationship Id="rId1" Type="http://schemas.openxmlformats.org/officeDocument/2006/relationships/chart" Target="../charts/chart5.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2</xdr:col>
      <xdr:colOff>31750</xdr:colOff>
      <xdr:row>91</xdr:row>
      <xdr:rowOff>5289</xdr:rowOff>
    </xdr:from>
    <xdr:to>
      <xdr:col>9</xdr:col>
      <xdr:colOff>323850</xdr:colOff>
      <xdr:row>115</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28364</xdr:colOff>
      <xdr:row>143</xdr:row>
      <xdr:rowOff>23284</xdr:rowOff>
    </xdr:from>
    <xdr:to>
      <xdr:col>11</xdr:col>
      <xdr:colOff>522817</xdr:colOff>
      <xdr:row>146</xdr:row>
      <xdr:rowOff>119804</xdr:rowOff>
    </xdr:to>
    <xdr:pic>
      <xdr:nvPicPr>
        <xdr:cNvPr id="5"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490297" y="15254817"/>
          <a:ext cx="3169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116</xdr:row>
      <xdr:rowOff>152400</xdr:rowOff>
    </xdr:from>
    <xdr:to>
      <xdr:col>9</xdr:col>
      <xdr:colOff>323851</xdr:colOff>
      <xdr:row>141</xdr:row>
      <xdr:rowOff>152400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447674</xdr:colOff>
      <xdr:row>91</xdr:row>
      <xdr:rowOff>9525</xdr:rowOff>
    </xdr:from>
    <xdr:to>
      <xdr:col>18</xdr:col>
      <xdr:colOff>581025</xdr:colOff>
      <xdr:row>115</xdr:row>
      <xdr:rowOff>156636</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447676</xdr:colOff>
      <xdr:row>116</xdr:row>
      <xdr:rowOff>156636</xdr:rowOff>
    </xdr:from>
    <xdr:to>
      <xdr:col>18</xdr:col>
      <xdr:colOff>577852</xdr:colOff>
      <xdr:row>141</xdr:row>
      <xdr:rowOff>156636</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xdr:colOff>
      <xdr:row>91</xdr:row>
      <xdr:rowOff>5289</xdr:rowOff>
    </xdr:from>
    <xdr:to>
      <xdr:col>9</xdr:col>
      <xdr:colOff>323850</xdr:colOff>
      <xdr:row>115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28364</xdr:colOff>
      <xdr:row>143</xdr:row>
      <xdr:rowOff>23284</xdr:rowOff>
    </xdr:from>
    <xdr:to>
      <xdr:col>11</xdr:col>
      <xdr:colOff>522817</xdr:colOff>
      <xdr:row>146</xdr:row>
      <xdr:rowOff>119804</xdr:rowOff>
    </xdr:to>
    <xdr:pic>
      <xdr:nvPicPr>
        <xdr:cNvPr id="3"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4729904" y="23005204"/>
          <a:ext cx="3146213" cy="576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116</xdr:row>
      <xdr:rowOff>152400</xdr:rowOff>
    </xdr:from>
    <xdr:to>
      <xdr:col>9</xdr:col>
      <xdr:colOff>323851</xdr:colOff>
      <xdr:row>141</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447674</xdr:colOff>
      <xdr:row>91</xdr:row>
      <xdr:rowOff>9525</xdr:rowOff>
    </xdr:from>
    <xdr:to>
      <xdr:col>18</xdr:col>
      <xdr:colOff>581025</xdr:colOff>
      <xdr:row>115</xdr:row>
      <xdr:rowOff>156636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447676</xdr:colOff>
      <xdr:row>116</xdr:row>
      <xdr:rowOff>156636</xdr:rowOff>
    </xdr:from>
    <xdr:to>
      <xdr:col>18</xdr:col>
      <xdr:colOff>577852</xdr:colOff>
      <xdr:row>141</xdr:row>
      <xdr:rowOff>156636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xtension.iastate.edu/agdm/livestock/html/b1-74.html" TargetMode="External"/><Relationship Id="rId1" Type="http://schemas.openxmlformats.org/officeDocument/2006/relationships/hyperlink" Target="mailto:lschulz@iastate.edu?subject=AgDM%20Net%20Present%20Value%20of%20Beef%20Replacement%20Femal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xtension.iastate.edu/agdm/livestock/html/b1-74.html" TargetMode="External"/><Relationship Id="rId1" Type="http://schemas.openxmlformats.org/officeDocument/2006/relationships/hyperlink" Target="mailto:lschulz@iastate.edu?subject=AgDM%20Net%20Present%20Value%20of%20Beef%20Replacement%20Femal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C152"/>
  <sheetViews>
    <sheetView showGridLines="0" tabSelected="1" zoomScaleNormal="100" workbookViewId="0"/>
  </sheetViews>
  <sheetFormatPr defaultColWidth="9.109375" defaultRowHeight="13.8"/>
  <cols>
    <col min="1" max="1" width="1.6640625" style="106" customWidth="1"/>
    <col min="2" max="2" width="1.6640625" style="107" customWidth="1"/>
    <col min="3" max="3" width="25.6640625" style="104" customWidth="1"/>
    <col min="4" max="4" width="10.5546875" style="104" bestFit="1" customWidth="1"/>
    <col min="5" max="15" width="9.6640625" style="104" customWidth="1"/>
    <col min="16" max="16" width="9.109375" style="104"/>
    <col min="17" max="17" width="9.6640625" style="104" bestFit="1" customWidth="1"/>
    <col min="18" max="16384" width="9.109375" style="104"/>
  </cols>
  <sheetData>
    <row r="1" spans="1:24" s="44" customFormat="1" ht="18" thickBot="1">
      <c r="C1" s="44" t="s">
        <v>79</v>
      </c>
    </row>
    <row r="2" spans="1:24" s="49" customFormat="1" ht="14.4" thickTop="1">
      <c r="A2" s="45"/>
      <c r="B2" s="46"/>
      <c r="C2" s="47" t="s">
        <v>0</v>
      </c>
      <c r="D2" s="47"/>
      <c r="E2" s="47"/>
      <c r="F2" s="48"/>
    </row>
    <row r="3" spans="1:24" s="49" customFormat="1" ht="13.2">
      <c r="A3" s="45"/>
      <c r="B3" s="46"/>
      <c r="C3" s="113" t="s">
        <v>49</v>
      </c>
      <c r="D3" s="113"/>
      <c r="E3" s="113"/>
      <c r="F3" s="113"/>
      <c r="G3" s="113"/>
      <c r="H3" s="113"/>
    </row>
    <row r="4" spans="1:24" s="49" customFormat="1" ht="12.75" customHeight="1">
      <c r="A4" s="45"/>
      <c r="B4" s="46"/>
      <c r="C4" s="50"/>
      <c r="D4" s="50"/>
    </row>
    <row r="5" spans="1:24" s="53" customFormat="1" ht="12.75" customHeight="1">
      <c r="A5" s="51"/>
      <c r="B5" s="52"/>
      <c r="C5" s="118" t="s">
        <v>1</v>
      </c>
      <c r="D5" s="118"/>
      <c r="E5" s="118"/>
      <c r="F5" s="118"/>
      <c r="G5" s="9"/>
    </row>
    <row r="6" spans="1:24" s="53" customFormat="1" ht="12.75" customHeight="1">
      <c r="A6" s="51"/>
      <c r="B6" s="52"/>
      <c r="C6" s="115" t="s">
        <v>47</v>
      </c>
      <c r="D6" s="116"/>
      <c r="E6" s="116"/>
      <c r="F6" s="117"/>
      <c r="G6" s="2"/>
    </row>
    <row r="7" spans="1:24" s="53" customFormat="1" ht="12.75" customHeight="1">
      <c r="A7" s="51"/>
      <c r="B7" s="52"/>
      <c r="C7" s="39" t="s">
        <v>76</v>
      </c>
      <c r="D7" s="40"/>
      <c r="E7" s="40"/>
      <c r="F7" s="41"/>
      <c r="G7" s="2"/>
    </row>
    <row r="8" spans="1:24" s="56" customFormat="1" ht="12.75" customHeight="1">
      <c r="A8" s="54"/>
      <c r="B8" s="55"/>
      <c r="C8" s="8"/>
      <c r="D8" s="8"/>
      <c r="E8" s="8"/>
      <c r="F8" s="8"/>
      <c r="G8" s="8"/>
    </row>
    <row r="9" spans="1:24" s="56" customFormat="1" ht="12.75" customHeight="1">
      <c r="A9" s="54"/>
      <c r="B9" s="55"/>
      <c r="C9" s="12" t="s">
        <v>16</v>
      </c>
      <c r="D9" s="12"/>
      <c r="E9" s="8"/>
      <c r="F9" s="8"/>
      <c r="G9" s="8"/>
    </row>
    <row r="10" spans="1:24" s="56" customFormat="1" ht="12.75" customHeight="1">
      <c r="A10" s="54"/>
      <c r="B10" s="55"/>
      <c r="C10" s="30" t="s">
        <v>57</v>
      </c>
      <c r="D10" s="30"/>
      <c r="E10" s="23">
        <v>1268.1199999999999</v>
      </c>
      <c r="G10" s="14" t="s">
        <v>2</v>
      </c>
      <c r="H10" s="14"/>
      <c r="I10" s="21">
        <v>2016</v>
      </c>
      <c r="K10" s="14" t="s">
        <v>4</v>
      </c>
      <c r="L10" s="14"/>
      <c r="M10" s="14"/>
      <c r="N10" s="30"/>
      <c r="O10" s="22">
        <v>11</v>
      </c>
    </row>
    <row r="11" spans="1:24" s="56" customFormat="1" ht="12.75" customHeight="1">
      <c r="A11" s="54"/>
      <c r="B11" s="55"/>
      <c r="C11" s="30" t="s">
        <v>51</v>
      </c>
      <c r="D11" s="30"/>
      <c r="E11" s="38">
        <v>100</v>
      </c>
      <c r="G11" s="14" t="s">
        <v>3</v>
      </c>
      <c r="H11" s="14"/>
      <c r="I11" s="21">
        <v>2016</v>
      </c>
      <c r="K11" s="8" t="s">
        <v>21</v>
      </c>
      <c r="L11" s="8"/>
      <c r="M11" s="8"/>
      <c r="N11" s="8"/>
      <c r="O11" s="24">
        <v>0.05</v>
      </c>
    </row>
    <row r="12" spans="1:24" s="56" customFormat="1" ht="12.75" customHeight="1">
      <c r="A12" s="54"/>
      <c r="B12" s="55"/>
      <c r="C12" s="57" t="s">
        <v>58</v>
      </c>
      <c r="E12" s="58">
        <f>E10*E11</f>
        <v>126811.99999999999</v>
      </c>
    </row>
    <row r="13" spans="1:24" s="56" customFormat="1" ht="12.75" customHeight="1">
      <c r="A13" s="54"/>
      <c r="B13" s="55"/>
      <c r="D13" s="14"/>
      <c r="E13" s="14"/>
      <c r="H13" s="8"/>
      <c r="I13" s="8"/>
      <c r="J13" s="8"/>
      <c r="K13" s="8"/>
      <c r="L13" s="20"/>
    </row>
    <row r="14" spans="1:24" s="56" customFormat="1" ht="12.75" customHeight="1">
      <c r="A14" s="54"/>
      <c r="B14" s="55"/>
      <c r="C14" s="59" t="s">
        <v>17</v>
      </c>
      <c r="D14" s="59"/>
      <c r="I14" s="60"/>
      <c r="J14" s="15"/>
      <c r="K14" s="16"/>
      <c r="L14" s="15"/>
      <c r="M14" s="16"/>
      <c r="N14" s="15"/>
      <c r="O14" s="16"/>
    </row>
    <row r="15" spans="1:24" s="56" customFormat="1" ht="12.75" customHeight="1">
      <c r="A15" s="54"/>
      <c r="B15" s="55"/>
      <c r="C15" s="56" t="s">
        <v>5</v>
      </c>
      <c r="E15" s="60">
        <f>I10</f>
        <v>2016</v>
      </c>
      <c r="F15" s="61">
        <f>+E15+1</f>
        <v>2017</v>
      </c>
      <c r="G15" s="61">
        <f t="shared" ref="G15:O15" si="0">+F15+1</f>
        <v>2018</v>
      </c>
      <c r="H15" s="61">
        <f t="shared" si="0"/>
        <v>2019</v>
      </c>
      <c r="I15" s="61">
        <f t="shared" si="0"/>
        <v>2020</v>
      </c>
      <c r="J15" s="61">
        <f t="shared" si="0"/>
        <v>2021</v>
      </c>
      <c r="K15" s="61">
        <f t="shared" si="0"/>
        <v>2022</v>
      </c>
      <c r="L15" s="61">
        <f t="shared" si="0"/>
        <v>2023</v>
      </c>
      <c r="M15" s="61">
        <f t="shared" si="0"/>
        <v>2024</v>
      </c>
      <c r="N15" s="61">
        <f t="shared" si="0"/>
        <v>2025</v>
      </c>
      <c r="O15" s="61">
        <f t="shared" si="0"/>
        <v>2026</v>
      </c>
      <c r="P15" s="61">
        <f t="shared" ref="P15" si="1">+O15+1</f>
        <v>2027</v>
      </c>
      <c r="Q15" s="61">
        <f t="shared" ref="Q15" si="2">+P15+1</f>
        <v>2028</v>
      </c>
      <c r="R15" s="61">
        <f t="shared" ref="R15" si="3">+Q15+1</f>
        <v>2029</v>
      </c>
      <c r="S15" s="61">
        <f t="shared" ref="S15" si="4">+R15+1</f>
        <v>2030</v>
      </c>
      <c r="T15" s="62"/>
      <c r="U15" s="62"/>
      <c r="V15" s="62"/>
      <c r="W15" s="62"/>
      <c r="X15" s="62"/>
    </row>
    <row r="16" spans="1:24" s="56" customFormat="1" ht="12.75" customHeight="1">
      <c r="A16" s="54"/>
      <c r="B16" s="55"/>
      <c r="C16" s="57" t="s">
        <v>50</v>
      </c>
      <c r="E16" s="63">
        <f>E11</f>
        <v>100</v>
      </c>
      <c r="F16" s="64">
        <f>E17</f>
        <v>82.5</v>
      </c>
      <c r="G16" s="64">
        <f t="shared" ref="G16:O16" si="5">F17</f>
        <v>72.1875</v>
      </c>
      <c r="H16" s="64">
        <f t="shared" si="5"/>
        <v>63.1640625</v>
      </c>
      <c r="I16" s="64">
        <f t="shared" si="5"/>
        <v>55.2685546875</v>
      </c>
      <c r="J16" s="64">
        <f t="shared" si="5"/>
        <v>48.3599853515625</v>
      </c>
      <c r="K16" s="64">
        <f t="shared" si="5"/>
        <v>42.314987182617188</v>
      </c>
      <c r="L16" s="64">
        <f t="shared" si="5"/>
        <v>37.025613784790039</v>
      </c>
      <c r="M16" s="64">
        <f t="shared" si="5"/>
        <v>32.397412061691284</v>
      </c>
      <c r="N16" s="64">
        <f t="shared" si="5"/>
        <v>28.347735553979874</v>
      </c>
      <c r="O16" s="64">
        <f t="shared" si="5"/>
        <v>24.804268609732389</v>
      </c>
      <c r="P16" s="64">
        <f t="shared" ref="P16" si="6">O17</f>
        <v>21.703735033515841</v>
      </c>
      <c r="Q16" s="64">
        <f t="shared" ref="Q16" si="7">P17</f>
        <v>21.703735033515841</v>
      </c>
      <c r="R16" s="64">
        <f t="shared" ref="R16" si="8">Q17</f>
        <v>21.703735033515841</v>
      </c>
      <c r="S16" s="64">
        <f t="shared" ref="S16" si="9">R17</f>
        <v>21.703735033515841</v>
      </c>
    </row>
    <row r="17" spans="1:29" s="56" customFormat="1" ht="12.75" customHeight="1">
      <c r="A17" s="54"/>
      <c r="B17" s="55"/>
      <c r="C17" s="57" t="s">
        <v>56</v>
      </c>
      <c r="E17" s="63">
        <f>E16*(1-E20-E21)</f>
        <v>82.5</v>
      </c>
      <c r="F17" s="63">
        <f t="shared" ref="F17:K17" si="10">F16*(1-F20-F21)</f>
        <v>72.1875</v>
      </c>
      <c r="G17" s="63">
        <f t="shared" si="10"/>
        <v>63.1640625</v>
      </c>
      <c r="H17" s="63">
        <f t="shared" si="10"/>
        <v>55.2685546875</v>
      </c>
      <c r="I17" s="63">
        <f t="shared" si="10"/>
        <v>48.3599853515625</v>
      </c>
      <c r="J17" s="63">
        <f t="shared" si="10"/>
        <v>42.314987182617188</v>
      </c>
      <c r="K17" s="63">
        <f t="shared" si="10"/>
        <v>37.025613784790039</v>
      </c>
      <c r="L17" s="63">
        <f t="shared" ref="L17" si="11">L16*(1-L20-L21)</f>
        <v>32.397412061691284</v>
      </c>
      <c r="M17" s="63">
        <f t="shared" ref="M17" si="12">M16*(1-M20-M21)</f>
        <v>28.347735553979874</v>
      </c>
      <c r="N17" s="63">
        <f t="shared" ref="N17" si="13">N16*(1-N20-N21)</f>
        <v>24.804268609732389</v>
      </c>
      <c r="O17" s="63">
        <f>O16*(1-O20-O21)</f>
        <v>21.703735033515841</v>
      </c>
      <c r="P17" s="63">
        <f t="shared" ref="P17:S17" si="14">P16*(1-P20-P21)</f>
        <v>21.703735033515841</v>
      </c>
      <c r="Q17" s="63">
        <f t="shared" si="14"/>
        <v>21.703735033515841</v>
      </c>
      <c r="R17" s="63">
        <f t="shared" si="14"/>
        <v>21.703735033515841</v>
      </c>
      <c r="S17" s="63">
        <f t="shared" si="14"/>
        <v>21.703735033515841</v>
      </c>
    </row>
    <row r="18" spans="1:29" s="56" customFormat="1" ht="12.75" customHeight="1">
      <c r="A18" s="54"/>
      <c r="B18" s="55"/>
      <c r="C18" s="57" t="s">
        <v>70</v>
      </c>
      <c r="E18" s="60" t="str">
        <f>IF(AND(E15&gt;=$I$11,E15&lt;=$I$11+$O$10-1),"Yes","No")</f>
        <v>Yes</v>
      </c>
      <c r="F18" s="60" t="str">
        <f t="shared" ref="F18:O18" si="15">IF(AND(F15&gt;=$I$11,F15&lt;=$I$11+$O$10-1),"Yes","No")</f>
        <v>Yes</v>
      </c>
      <c r="G18" s="60" t="str">
        <f t="shared" si="15"/>
        <v>Yes</v>
      </c>
      <c r="H18" s="60" t="str">
        <f t="shared" si="15"/>
        <v>Yes</v>
      </c>
      <c r="I18" s="60" t="str">
        <f t="shared" si="15"/>
        <v>Yes</v>
      </c>
      <c r="J18" s="60" t="str">
        <f t="shared" si="15"/>
        <v>Yes</v>
      </c>
      <c r="K18" s="60" t="str">
        <f t="shared" si="15"/>
        <v>Yes</v>
      </c>
      <c r="L18" s="60" t="str">
        <f t="shared" si="15"/>
        <v>Yes</v>
      </c>
      <c r="M18" s="60" t="str">
        <f t="shared" si="15"/>
        <v>Yes</v>
      </c>
      <c r="N18" s="60" t="str">
        <f t="shared" si="15"/>
        <v>Yes</v>
      </c>
      <c r="O18" s="60" t="str">
        <f t="shared" si="15"/>
        <v>Yes</v>
      </c>
      <c r="P18" s="60" t="str">
        <f t="shared" ref="P18:S18" si="16">IF(AND(P15&gt;=$I$11,P15&lt;=$I$11+$O$10-1),"Yes","No")</f>
        <v>No</v>
      </c>
      <c r="Q18" s="60" t="str">
        <f t="shared" si="16"/>
        <v>No</v>
      </c>
      <c r="R18" s="60" t="str">
        <f t="shared" si="16"/>
        <v>No</v>
      </c>
      <c r="S18" s="60" t="str">
        <f t="shared" si="16"/>
        <v>No</v>
      </c>
    </row>
    <row r="19" spans="1:29" s="56" customFormat="1" ht="12.75" customHeight="1">
      <c r="A19" s="54"/>
      <c r="B19" s="55"/>
      <c r="C19" s="65"/>
      <c r="D19" s="65"/>
      <c r="E19" s="13"/>
      <c r="F19" s="13"/>
      <c r="G19" s="13"/>
      <c r="H19" s="13"/>
      <c r="I19" s="13"/>
      <c r="J19" s="13"/>
      <c r="K19" s="13"/>
      <c r="L19" s="13"/>
      <c r="M19" s="13"/>
      <c r="N19" s="13"/>
    </row>
    <row r="20" spans="1:29" s="56" customFormat="1" ht="12.75" customHeight="1">
      <c r="A20" s="54"/>
      <c r="B20" s="55"/>
      <c r="C20" s="28" t="s">
        <v>71</v>
      </c>
      <c r="D20" s="65"/>
      <c r="E20" s="110">
        <v>5.0000000000000001E-3</v>
      </c>
      <c r="F20" s="110">
        <v>5.0000000000000001E-3</v>
      </c>
      <c r="G20" s="110">
        <v>5.0000000000000001E-3</v>
      </c>
      <c r="H20" s="110">
        <v>5.0000000000000001E-3</v>
      </c>
      <c r="I20" s="110">
        <v>5.0000000000000001E-3</v>
      </c>
      <c r="J20" s="110">
        <v>5.0000000000000001E-3</v>
      </c>
      <c r="K20" s="110">
        <v>5.0000000000000001E-3</v>
      </c>
      <c r="L20" s="110">
        <v>5.0000000000000001E-3</v>
      </c>
      <c r="M20" s="110">
        <v>5.0000000000000001E-3</v>
      </c>
      <c r="N20" s="110">
        <v>5.0000000000000001E-3</v>
      </c>
      <c r="O20" s="110">
        <v>5.0000000000000001E-3</v>
      </c>
      <c r="P20" s="110"/>
      <c r="Q20" s="110"/>
      <c r="R20" s="110"/>
      <c r="S20" s="110"/>
    </row>
    <row r="21" spans="1:29" s="56" customFormat="1" ht="12.75" customHeight="1">
      <c r="A21" s="54"/>
      <c r="B21" s="55"/>
      <c r="C21" s="28" t="s">
        <v>54</v>
      </c>
      <c r="D21" s="65"/>
      <c r="E21" s="110">
        <v>0.17</v>
      </c>
      <c r="F21" s="110">
        <v>0.12</v>
      </c>
      <c r="G21" s="110">
        <v>0.12</v>
      </c>
      <c r="H21" s="110">
        <v>0.12</v>
      </c>
      <c r="I21" s="110">
        <v>0.12</v>
      </c>
      <c r="J21" s="110">
        <v>0.12</v>
      </c>
      <c r="K21" s="110">
        <v>0.12</v>
      </c>
      <c r="L21" s="110">
        <v>0.12</v>
      </c>
      <c r="M21" s="110">
        <v>0.12</v>
      </c>
      <c r="N21" s="110">
        <v>0.12</v>
      </c>
      <c r="O21" s="110">
        <v>0.12</v>
      </c>
      <c r="P21" s="110"/>
      <c r="Q21" s="110"/>
      <c r="R21" s="110"/>
      <c r="S21" s="110"/>
      <c r="T21" s="62"/>
      <c r="U21" s="62"/>
      <c r="V21" s="62"/>
      <c r="W21" s="62"/>
      <c r="X21" s="62"/>
    </row>
    <row r="22" spans="1:29" s="56" customFormat="1" ht="12.75" customHeight="1">
      <c r="A22" s="54"/>
      <c r="B22" s="55"/>
      <c r="C22" s="56" t="s">
        <v>12</v>
      </c>
      <c r="E22" s="111">
        <v>0.99</v>
      </c>
      <c r="F22" s="111">
        <v>0.99</v>
      </c>
      <c r="G22" s="111">
        <v>0.99</v>
      </c>
      <c r="H22" s="111">
        <v>0.99</v>
      </c>
      <c r="I22" s="111">
        <v>0.99</v>
      </c>
      <c r="J22" s="111">
        <v>0.99</v>
      </c>
      <c r="K22" s="111">
        <v>0.99</v>
      </c>
      <c r="L22" s="111">
        <v>0.99</v>
      </c>
      <c r="M22" s="111">
        <v>0.99</v>
      </c>
      <c r="N22" s="111">
        <v>0.99</v>
      </c>
      <c r="O22" s="111">
        <v>0.99</v>
      </c>
      <c r="P22" s="111"/>
      <c r="Q22" s="111"/>
      <c r="R22" s="111"/>
      <c r="S22" s="111"/>
    </row>
    <row r="23" spans="1:29" s="56" customFormat="1" ht="12.75" customHeight="1">
      <c r="A23" s="54"/>
      <c r="B23" s="55"/>
      <c r="C23" s="66"/>
      <c r="D23" s="66"/>
      <c r="E23" s="31"/>
      <c r="F23" s="31"/>
      <c r="G23" s="31"/>
      <c r="H23" s="67"/>
      <c r="I23" s="67"/>
      <c r="J23" s="67"/>
      <c r="K23" s="67"/>
      <c r="L23" s="67"/>
      <c r="M23" s="67"/>
      <c r="N23" s="67"/>
      <c r="O23" s="67"/>
      <c r="P23" s="67"/>
      <c r="Q23" s="67"/>
      <c r="R23" s="67"/>
      <c r="S23" s="67"/>
    </row>
    <row r="24" spans="1:29" s="56" customFormat="1" ht="12.75" customHeight="1">
      <c r="A24" s="54"/>
      <c r="B24" s="55"/>
      <c r="C24" s="66" t="s">
        <v>6</v>
      </c>
      <c r="D24" s="66"/>
      <c r="E24" s="32">
        <v>475</v>
      </c>
      <c r="F24" s="32">
        <v>500</v>
      </c>
      <c r="G24" s="32">
        <v>525</v>
      </c>
      <c r="H24" s="32">
        <v>540</v>
      </c>
      <c r="I24" s="32">
        <v>540</v>
      </c>
      <c r="J24" s="32">
        <v>525</v>
      </c>
      <c r="K24" s="32">
        <v>525</v>
      </c>
      <c r="L24" s="32">
        <v>510</v>
      </c>
      <c r="M24" s="32">
        <v>500</v>
      </c>
      <c r="N24" s="32">
        <v>490</v>
      </c>
      <c r="O24" s="32">
        <v>475</v>
      </c>
      <c r="P24" s="32"/>
      <c r="Q24" s="32"/>
      <c r="R24" s="32"/>
      <c r="S24" s="32"/>
      <c r="T24" s="68"/>
      <c r="U24" s="68"/>
      <c r="V24" s="68"/>
      <c r="W24" s="68"/>
      <c r="X24" s="68"/>
      <c r="Y24" s="68"/>
      <c r="Z24" s="68"/>
      <c r="AA24" s="68"/>
      <c r="AB24" s="68"/>
      <c r="AC24" s="68"/>
    </row>
    <row r="25" spans="1:29" s="56" customFormat="1" ht="12.75" customHeight="1">
      <c r="A25" s="54"/>
      <c r="B25" s="55"/>
      <c r="C25" s="66" t="s">
        <v>7</v>
      </c>
      <c r="D25" s="66"/>
      <c r="E25" s="42">
        <v>213</v>
      </c>
      <c r="F25" s="42">
        <v>213</v>
      </c>
      <c r="G25" s="42">
        <v>201</v>
      </c>
      <c r="H25" s="42">
        <v>188</v>
      </c>
      <c r="I25" s="42">
        <v>188</v>
      </c>
      <c r="J25" s="42">
        <v>187</v>
      </c>
      <c r="K25" s="42">
        <v>184</v>
      </c>
      <c r="L25" s="42">
        <v>182</v>
      </c>
      <c r="M25" s="42">
        <v>185</v>
      </c>
      <c r="N25" s="42">
        <v>188</v>
      </c>
      <c r="O25" s="42">
        <v>190</v>
      </c>
      <c r="P25" s="42"/>
      <c r="Q25" s="42"/>
      <c r="R25" s="42"/>
      <c r="S25" s="42"/>
      <c r="AB25" s="68"/>
    </row>
    <row r="26" spans="1:29" s="56" customFormat="1" ht="12.75" customHeight="1">
      <c r="A26" s="54"/>
      <c r="B26" s="55"/>
      <c r="C26" s="66"/>
      <c r="D26" s="66"/>
      <c r="E26" s="31"/>
      <c r="F26" s="31"/>
      <c r="G26" s="31"/>
      <c r="H26" s="69"/>
      <c r="I26" s="69"/>
      <c r="J26" s="69"/>
      <c r="K26" s="69"/>
      <c r="L26" s="69"/>
      <c r="M26" s="69"/>
      <c r="N26" s="69"/>
      <c r="O26" s="67"/>
      <c r="P26" s="67"/>
      <c r="Q26" s="67"/>
      <c r="R26" s="67"/>
      <c r="S26" s="67"/>
      <c r="AB26" s="68"/>
    </row>
    <row r="27" spans="1:29" s="56" customFormat="1" ht="12.75" customHeight="1">
      <c r="A27" s="54"/>
      <c r="B27" s="55"/>
      <c r="C27" s="66" t="s">
        <v>8</v>
      </c>
      <c r="D27" s="66"/>
      <c r="E27" s="33">
        <v>435</v>
      </c>
      <c r="F27" s="33">
        <v>460</v>
      </c>
      <c r="G27" s="33">
        <v>485</v>
      </c>
      <c r="H27" s="33">
        <v>500</v>
      </c>
      <c r="I27" s="33">
        <v>500</v>
      </c>
      <c r="J27" s="33">
        <v>485</v>
      </c>
      <c r="K27" s="33">
        <v>485</v>
      </c>
      <c r="L27" s="33">
        <v>470</v>
      </c>
      <c r="M27" s="33">
        <v>460</v>
      </c>
      <c r="N27" s="33">
        <v>450</v>
      </c>
      <c r="O27" s="33">
        <v>435</v>
      </c>
      <c r="P27" s="33"/>
      <c r="Q27" s="33"/>
      <c r="R27" s="33"/>
      <c r="S27" s="33"/>
      <c r="AB27" s="68"/>
    </row>
    <row r="28" spans="1:29" s="56" customFormat="1" ht="12.75" customHeight="1">
      <c r="A28" s="54"/>
      <c r="B28" s="55"/>
      <c r="C28" s="66" t="s">
        <v>9</v>
      </c>
      <c r="D28" s="66"/>
      <c r="E28" s="42">
        <v>203</v>
      </c>
      <c r="F28" s="42">
        <v>203</v>
      </c>
      <c r="G28" s="42">
        <v>191</v>
      </c>
      <c r="H28" s="42">
        <v>178</v>
      </c>
      <c r="I28" s="42">
        <v>178</v>
      </c>
      <c r="J28" s="42">
        <v>177</v>
      </c>
      <c r="K28" s="42">
        <v>174</v>
      </c>
      <c r="L28" s="42">
        <v>172</v>
      </c>
      <c r="M28" s="42">
        <v>175</v>
      </c>
      <c r="N28" s="42">
        <v>178</v>
      </c>
      <c r="O28" s="42">
        <v>180</v>
      </c>
      <c r="P28" s="42"/>
      <c r="Q28" s="42"/>
      <c r="R28" s="42"/>
      <c r="S28" s="42"/>
      <c r="AB28" s="68"/>
    </row>
    <row r="29" spans="1:29" s="56" customFormat="1" ht="12.75" customHeight="1">
      <c r="A29" s="54"/>
      <c r="B29" s="55"/>
      <c r="C29" s="66"/>
      <c r="D29" s="66"/>
      <c r="E29" s="31"/>
      <c r="F29" s="31"/>
      <c r="G29" s="31"/>
      <c r="H29" s="67"/>
      <c r="I29" s="67"/>
      <c r="J29" s="67"/>
      <c r="K29" s="67"/>
      <c r="L29" s="67"/>
      <c r="M29" s="67"/>
      <c r="N29" s="67"/>
      <c r="O29" s="67"/>
      <c r="P29" s="67"/>
      <c r="Q29" s="67"/>
      <c r="R29" s="67"/>
      <c r="S29" s="67"/>
      <c r="AB29" s="68"/>
    </row>
    <row r="30" spans="1:29" s="56" customFormat="1" ht="12.75" customHeight="1">
      <c r="A30" s="54"/>
      <c r="B30" s="55"/>
      <c r="C30" s="66" t="s">
        <v>10</v>
      </c>
      <c r="D30" s="66"/>
      <c r="E30" s="33">
        <v>1190</v>
      </c>
      <c r="F30" s="33">
        <v>1260</v>
      </c>
      <c r="G30" s="33">
        <v>1310</v>
      </c>
      <c r="H30" s="33">
        <v>1325</v>
      </c>
      <c r="I30" s="33">
        <v>1325</v>
      </c>
      <c r="J30" s="33">
        <v>1325</v>
      </c>
      <c r="K30" s="33">
        <v>1325</v>
      </c>
      <c r="L30" s="33">
        <v>1310</v>
      </c>
      <c r="M30" s="33">
        <v>1300</v>
      </c>
      <c r="N30" s="33">
        <v>1280</v>
      </c>
      <c r="O30" s="33">
        <v>1260</v>
      </c>
      <c r="P30" s="33"/>
      <c r="Q30" s="33"/>
      <c r="R30" s="33"/>
      <c r="S30" s="33"/>
      <c r="AB30" s="68"/>
    </row>
    <row r="31" spans="1:29" s="56" customFormat="1" ht="12.75" customHeight="1">
      <c r="A31" s="54"/>
      <c r="B31" s="55"/>
      <c r="C31" s="66" t="s">
        <v>11</v>
      </c>
      <c r="D31" s="66"/>
      <c r="E31" s="42">
        <v>65</v>
      </c>
      <c r="F31" s="42">
        <v>65</v>
      </c>
      <c r="G31" s="42">
        <v>60</v>
      </c>
      <c r="H31" s="42">
        <v>60</v>
      </c>
      <c r="I31" s="42">
        <v>60</v>
      </c>
      <c r="J31" s="42">
        <v>60</v>
      </c>
      <c r="K31" s="42">
        <v>60</v>
      </c>
      <c r="L31" s="42">
        <v>60</v>
      </c>
      <c r="M31" s="42">
        <v>60</v>
      </c>
      <c r="N31" s="42">
        <v>60</v>
      </c>
      <c r="O31" s="42">
        <v>60</v>
      </c>
      <c r="P31" s="42"/>
      <c r="Q31" s="42"/>
      <c r="R31" s="42"/>
      <c r="S31" s="42"/>
      <c r="AB31" s="68"/>
    </row>
    <row r="32" spans="1:29" s="56" customFormat="1" ht="12.75" customHeight="1">
      <c r="A32" s="54"/>
      <c r="B32" s="55"/>
      <c r="C32" s="66"/>
      <c r="D32" s="66"/>
      <c r="E32" s="34"/>
      <c r="F32" s="34"/>
      <c r="G32" s="34"/>
      <c r="H32" s="34"/>
      <c r="I32" s="34"/>
      <c r="J32" s="34"/>
      <c r="K32" s="34"/>
      <c r="L32" s="34"/>
      <c r="M32" s="34"/>
      <c r="N32" s="34"/>
      <c r="O32" s="34"/>
      <c r="P32" s="34"/>
      <c r="Q32" s="34"/>
      <c r="R32" s="34"/>
      <c r="S32" s="34"/>
      <c r="AB32" s="68"/>
    </row>
    <row r="33" spans="1:28" s="56" customFormat="1" ht="12.75" customHeight="1">
      <c r="A33" s="54"/>
      <c r="B33" s="55"/>
      <c r="C33" s="70" t="s">
        <v>13</v>
      </c>
      <c r="D33" s="66"/>
      <c r="E33" s="35">
        <f t="shared" ref="E33:S33" si="17">IF(AND(E18="Yes",E22&gt;0),((((E24*E25)+(E27*E28))/100)/2*(E16*E22)),0)</f>
        <v>93792.599999999991</v>
      </c>
      <c r="F33" s="35">
        <f t="shared" si="17"/>
        <v>81625.994999999995</v>
      </c>
      <c r="G33" s="35">
        <f t="shared" si="17"/>
        <v>70808.141250000001</v>
      </c>
      <c r="H33" s="35">
        <f t="shared" si="17"/>
        <v>59568.385078125</v>
      </c>
      <c r="I33" s="35">
        <f t="shared" si="17"/>
        <v>52122.336943359376</v>
      </c>
      <c r="J33" s="35">
        <f t="shared" si="17"/>
        <v>44051.062296752927</v>
      </c>
      <c r="K33" s="35">
        <f t="shared" si="17"/>
        <v>37910.018174400335</v>
      </c>
      <c r="L33" s="35">
        <f t="shared" si="17"/>
        <v>31827.847044839855</v>
      </c>
      <c r="M33" s="35">
        <f t="shared" si="17"/>
        <v>27743.523819029335</v>
      </c>
      <c r="N33" s="35">
        <f t="shared" si="17"/>
        <v>24166.13273467675</v>
      </c>
      <c r="O33" s="35">
        <f t="shared" si="17"/>
        <v>20694.759397143451</v>
      </c>
      <c r="P33" s="35">
        <f t="shared" si="17"/>
        <v>0</v>
      </c>
      <c r="Q33" s="35">
        <f t="shared" si="17"/>
        <v>0</v>
      </c>
      <c r="R33" s="35">
        <f t="shared" si="17"/>
        <v>0</v>
      </c>
      <c r="S33" s="35">
        <f t="shared" si="17"/>
        <v>0</v>
      </c>
      <c r="AB33" s="68"/>
    </row>
    <row r="34" spans="1:28" s="56" customFormat="1" ht="12.75" customHeight="1">
      <c r="A34" s="54"/>
      <c r="B34" s="55"/>
      <c r="C34" s="66"/>
      <c r="D34" s="66"/>
      <c r="E34" s="31"/>
      <c r="F34" s="31"/>
      <c r="G34" s="31"/>
      <c r="H34" s="67"/>
      <c r="I34" s="67"/>
      <c r="J34" s="67"/>
      <c r="K34" s="67"/>
      <c r="L34" s="67"/>
      <c r="M34" s="67"/>
      <c r="N34" s="67"/>
      <c r="O34" s="67"/>
      <c r="P34" s="67"/>
      <c r="Q34" s="67"/>
      <c r="R34" s="67"/>
      <c r="S34" s="67"/>
    </row>
    <row r="35" spans="1:28" s="56" customFormat="1" ht="12.75" customHeight="1">
      <c r="A35" s="54"/>
      <c r="B35" s="55"/>
      <c r="C35" s="66" t="s">
        <v>46</v>
      </c>
      <c r="D35" s="66"/>
      <c r="E35" s="36">
        <v>664</v>
      </c>
      <c r="F35" s="36">
        <v>800</v>
      </c>
      <c r="G35" s="36">
        <v>800</v>
      </c>
      <c r="H35" s="36">
        <v>800</v>
      </c>
      <c r="I35" s="36">
        <v>800</v>
      </c>
      <c r="J35" s="36">
        <v>800</v>
      </c>
      <c r="K35" s="36">
        <v>800</v>
      </c>
      <c r="L35" s="36">
        <v>800</v>
      </c>
      <c r="M35" s="36">
        <v>800</v>
      </c>
      <c r="N35" s="36">
        <v>800</v>
      </c>
      <c r="O35" s="36">
        <v>664</v>
      </c>
      <c r="P35" s="36"/>
      <c r="Q35" s="36"/>
      <c r="R35" s="36"/>
      <c r="S35" s="36"/>
    </row>
    <row r="36" spans="1:28" s="56" customFormat="1" ht="12.75" customHeight="1">
      <c r="A36" s="54"/>
      <c r="B36" s="55"/>
      <c r="C36" s="66"/>
      <c r="D36" s="66"/>
      <c r="E36" s="31"/>
      <c r="F36" s="31"/>
      <c r="G36" s="31"/>
      <c r="H36" s="67"/>
      <c r="I36" s="67"/>
      <c r="J36" s="67"/>
      <c r="K36" s="67"/>
      <c r="L36" s="67"/>
      <c r="M36" s="67"/>
      <c r="N36" s="67"/>
      <c r="O36" s="67"/>
      <c r="P36" s="67"/>
      <c r="Q36" s="67"/>
      <c r="R36" s="67"/>
      <c r="S36" s="67"/>
    </row>
    <row r="37" spans="1:28" s="56" customFormat="1" ht="12.75" customHeight="1">
      <c r="A37" s="54"/>
      <c r="B37" s="55"/>
      <c r="C37" s="66" t="s">
        <v>43</v>
      </c>
      <c r="D37" s="66"/>
      <c r="E37" s="31"/>
      <c r="F37" s="31"/>
      <c r="G37" s="31"/>
      <c r="H37" s="67"/>
      <c r="I37" s="67"/>
      <c r="J37" s="67"/>
      <c r="K37" s="67"/>
      <c r="L37" s="67"/>
      <c r="M37" s="67"/>
      <c r="N37" s="67"/>
      <c r="O37" s="67"/>
      <c r="P37" s="67"/>
      <c r="Q37" s="67"/>
      <c r="R37" s="67"/>
      <c r="S37" s="67"/>
    </row>
    <row r="38" spans="1:28" s="56" customFormat="1" ht="12.75" customHeight="1">
      <c r="A38" s="54"/>
      <c r="B38" s="55"/>
      <c r="C38" s="66" t="s">
        <v>44</v>
      </c>
      <c r="D38" s="66"/>
      <c r="E38" s="36"/>
      <c r="F38" s="36"/>
      <c r="G38" s="36"/>
      <c r="H38" s="36"/>
      <c r="I38" s="36"/>
      <c r="J38" s="36"/>
      <c r="K38" s="36"/>
      <c r="L38" s="36"/>
      <c r="M38" s="36"/>
      <c r="N38" s="36"/>
      <c r="O38" s="36"/>
      <c r="P38" s="36"/>
      <c r="Q38" s="36"/>
      <c r="R38" s="36"/>
      <c r="S38" s="36"/>
    </row>
    <row r="39" spans="1:28" s="56" customFormat="1" ht="12.75" customHeight="1">
      <c r="A39" s="54"/>
      <c r="B39" s="55"/>
      <c r="C39" s="66"/>
      <c r="D39" s="66"/>
      <c r="E39" s="31"/>
      <c r="F39" s="31"/>
      <c r="G39" s="31"/>
      <c r="H39" s="67"/>
      <c r="I39" s="67"/>
      <c r="J39" s="67"/>
      <c r="K39" s="67"/>
      <c r="L39" s="67"/>
      <c r="M39" s="67"/>
      <c r="N39" s="67"/>
      <c r="O39" s="67"/>
      <c r="P39" s="67"/>
      <c r="Q39" s="67"/>
      <c r="R39" s="67"/>
      <c r="S39" s="67"/>
    </row>
    <row r="40" spans="1:28" s="56" customFormat="1" ht="12.75" customHeight="1">
      <c r="A40" s="54"/>
      <c r="B40" s="55"/>
      <c r="C40" s="70" t="s">
        <v>55</v>
      </c>
      <c r="D40" s="66"/>
      <c r="E40" s="27">
        <f>E16*E35</f>
        <v>66400</v>
      </c>
      <c r="F40" s="27">
        <f t="shared" ref="E40:S40" si="18">F16*F35</f>
        <v>66000</v>
      </c>
      <c r="G40" s="27">
        <f t="shared" si="18"/>
        <v>57750</v>
      </c>
      <c r="H40" s="27">
        <f t="shared" si="18"/>
        <v>50531.25</v>
      </c>
      <c r="I40" s="27">
        <f t="shared" si="18"/>
        <v>44214.84375</v>
      </c>
      <c r="J40" s="27">
        <f t="shared" si="18"/>
        <v>38687.98828125</v>
      </c>
      <c r="K40" s="27">
        <f t="shared" si="18"/>
        <v>33851.98974609375</v>
      </c>
      <c r="L40" s="27">
        <f t="shared" si="18"/>
        <v>29620.491027832031</v>
      </c>
      <c r="M40" s="27">
        <f t="shared" si="18"/>
        <v>25917.929649353027</v>
      </c>
      <c r="N40" s="27">
        <f t="shared" si="18"/>
        <v>22678.188443183899</v>
      </c>
      <c r="O40" s="27">
        <f t="shared" si="18"/>
        <v>16470.034356862307</v>
      </c>
      <c r="P40" s="27">
        <f t="shared" si="18"/>
        <v>0</v>
      </c>
      <c r="Q40" s="27">
        <f t="shared" si="18"/>
        <v>0</v>
      </c>
      <c r="R40" s="27">
        <f t="shared" si="18"/>
        <v>0</v>
      </c>
      <c r="S40" s="27">
        <f t="shared" si="18"/>
        <v>0</v>
      </c>
    </row>
    <row r="41" spans="1:28" s="56" customFormat="1" ht="12.75" customHeight="1">
      <c r="A41" s="54"/>
      <c r="B41" s="55"/>
      <c r="C41" s="66"/>
      <c r="D41" s="66"/>
      <c r="E41" s="31"/>
      <c r="F41" s="31"/>
      <c r="G41" s="31"/>
      <c r="H41" s="67"/>
      <c r="I41" s="67"/>
      <c r="J41" s="67"/>
      <c r="K41" s="67"/>
      <c r="L41" s="67"/>
      <c r="M41" s="67"/>
      <c r="N41" s="67"/>
      <c r="O41" s="67"/>
      <c r="P41" s="67"/>
      <c r="Q41" s="67"/>
      <c r="R41" s="67"/>
      <c r="S41" s="67"/>
    </row>
    <row r="42" spans="1:28" s="56" customFormat="1" ht="12.75" customHeight="1">
      <c r="A42" s="54"/>
      <c r="B42" s="55"/>
      <c r="C42" s="66" t="s">
        <v>18</v>
      </c>
      <c r="D42" s="66"/>
      <c r="E42" s="71"/>
      <c r="F42" s="71"/>
      <c r="G42" s="71"/>
      <c r="H42" s="71"/>
      <c r="I42" s="71"/>
      <c r="J42" s="71"/>
      <c r="K42" s="71"/>
      <c r="L42" s="71"/>
      <c r="M42" s="71"/>
      <c r="N42" s="71"/>
      <c r="O42" s="71"/>
      <c r="P42" s="71"/>
      <c r="Q42" s="71"/>
      <c r="R42" s="71"/>
      <c r="S42" s="71"/>
    </row>
    <row r="43" spans="1:28" s="56" customFormat="1" ht="12.75" customHeight="1">
      <c r="A43" s="54"/>
      <c r="B43" s="55"/>
      <c r="C43" s="66" t="s">
        <v>45</v>
      </c>
      <c r="D43" s="66"/>
      <c r="E43" s="37">
        <f>E33-E40</f>
        <v>27392.599999999991</v>
      </c>
      <c r="F43" s="37">
        <f t="shared" ref="F43:K43" si="19">F33-F40</f>
        <v>15625.994999999995</v>
      </c>
      <c r="G43" s="37">
        <f t="shared" si="19"/>
        <v>13058.141250000001</v>
      </c>
      <c r="H43" s="37">
        <f t="shared" si="19"/>
        <v>9037.1350781250003</v>
      </c>
      <c r="I43" s="37">
        <f t="shared" si="19"/>
        <v>7907.4931933593762</v>
      </c>
      <c r="J43" s="37">
        <f>J33-J40</f>
        <v>5363.0740155029271</v>
      </c>
      <c r="K43" s="37">
        <f t="shared" si="19"/>
        <v>4058.0284283065848</v>
      </c>
      <c r="L43" s="37">
        <f t="shared" ref="L43:S43" si="20">L33-(L35*L16)-(L38*L16)</f>
        <v>2207.3560170078235</v>
      </c>
      <c r="M43" s="37">
        <f t="shared" si="20"/>
        <v>1825.5941696763075</v>
      </c>
      <c r="N43" s="37">
        <f t="shared" si="20"/>
        <v>1487.9442914928513</v>
      </c>
      <c r="O43" s="37">
        <f t="shared" si="20"/>
        <v>4224.7250402811442</v>
      </c>
      <c r="P43" s="37">
        <f t="shared" si="20"/>
        <v>0</v>
      </c>
      <c r="Q43" s="37">
        <f t="shared" si="20"/>
        <v>0</v>
      </c>
      <c r="R43" s="37">
        <f t="shared" si="20"/>
        <v>0</v>
      </c>
      <c r="S43" s="37">
        <f t="shared" si="20"/>
        <v>0</v>
      </c>
    </row>
    <row r="44" spans="1:28" s="56" customFormat="1" ht="12.75" customHeight="1">
      <c r="A44" s="54"/>
      <c r="B44" s="55"/>
      <c r="C44" s="66"/>
      <c r="D44" s="66"/>
      <c r="E44" s="31"/>
      <c r="F44" s="31"/>
      <c r="G44" s="31"/>
      <c r="H44" s="67"/>
      <c r="I44" s="67"/>
      <c r="J44" s="67"/>
      <c r="K44" s="67"/>
      <c r="L44" s="67"/>
      <c r="M44" s="67"/>
      <c r="N44" s="67"/>
      <c r="O44" s="67"/>
      <c r="P44" s="67"/>
      <c r="Q44" s="67"/>
      <c r="R44" s="67"/>
      <c r="S44" s="67"/>
    </row>
    <row r="45" spans="1:28" s="56" customFormat="1" ht="12.75" customHeight="1">
      <c r="A45" s="54"/>
      <c r="B45" s="55"/>
      <c r="C45" s="59" t="s">
        <v>35</v>
      </c>
      <c r="D45" s="61" t="s">
        <v>19</v>
      </c>
      <c r="E45" s="72">
        <f t="shared" ref="E45:S45" si="21">E15</f>
        <v>2016</v>
      </c>
      <c r="F45" s="72">
        <f t="shared" si="21"/>
        <v>2017</v>
      </c>
      <c r="G45" s="72">
        <f t="shared" si="21"/>
        <v>2018</v>
      </c>
      <c r="H45" s="72">
        <f t="shared" si="21"/>
        <v>2019</v>
      </c>
      <c r="I45" s="72">
        <f t="shared" si="21"/>
        <v>2020</v>
      </c>
      <c r="J45" s="72">
        <f t="shared" si="21"/>
        <v>2021</v>
      </c>
      <c r="K45" s="72">
        <f t="shared" si="21"/>
        <v>2022</v>
      </c>
      <c r="L45" s="72">
        <f t="shared" si="21"/>
        <v>2023</v>
      </c>
      <c r="M45" s="72">
        <f t="shared" si="21"/>
        <v>2024</v>
      </c>
      <c r="N45" s="72">
        <f t="shared" si="21"/>
        <v>2025</v>
      </c>
      <c r="O45" s="72">
        <f t="shared" si="21"/>
        <v>2026</v>
      </c>
      <c r="P45" s="72">
        <f t="shared" si="21"/>
        <v>2027</v>
      </c>
      <c r="Q45" s="72">
        <f t="shared" si="21"/>
        <v>2028</v>
      </c>
      <c r="R45" s="72">
        <f t="shared" si="21"/>
        <v>2029</v>
      </c>
      <c r="S45" s="72">
        <f t="shared" si="21"/>
        <v>2030</v>
      </c>
    </row>
    <row r="46" spans="1:28" s="56" customFormat="1" ht="12.75" customHeight="1">
      <c r="A46" s="54"/>
      <c r="B46" s="55"/>
      <c r="C46" s="59"/>
      <c r="D46" s="73" t="s">
        <v>22</v>
      </c>
      <c r="E46" s="74" t="s">
        <v>23</v>
      </c>
      <c r="F46" s="74" t="s">
        <v>24</v>
      </c>
      <c r="G46" s="74" t="s">
        <v>25</v>
      </c>
      <c r="H46" s="74" t="s">
        <v>26</v>
      </c>
      <c r="I46" s="74" t="s">
        <v>27</v>
      </c>
      <c r="J46" s="74" t="s">
        <v>28</v>
      </c>
      <c r="K46" s="74" t="s">
        <v>29</v>
      </c>
      <c r="L46" s="74" t="s">
        <v>30</v>
      </c>
      <c r="M46" s="74" t="s">
        <v>31</v>
      </c>
      <c r="N46" s="74" t="s">
        <v>32</v>
      </c>
      <c r="O46" s="74" t="s">
        <v>33</v>
      </c>
      <c r="P46" s="74" t="s">
        <v>72</v>
      </c>
      <c r="Q46" s="74" t="s">
        <v>73</v>
      </c>
      <c r="R46" s="74" t="s">
        <v>74</v>
      </c>
      <c r="S46" s="74" t="s">
        <v>75</v>
      </c>
    </row>
    <row r="47" spans="1:28" s="56" customFormat="1" ht="12.75" customHeight="1">
      <c r="A47" s="54"/>
      <c r="B47" s="55"/>
      <c r="C47" s="75"/>
      <c r="D47" s="75"/>
      <c r="E47" s="37"/>
      <c r="F47" s="37"/>
      <c r="G47" s="37"/>
      <c r="H47" s="37"/>
      <c r="I47" s="37"/>
      <c r="J47" s="37"/>
      <c r="K47" s="37"/>
      <c r="L47" s="37"/>
      <c r="M47" s="37"/>
      <c r="N47" s="37"/>
      <c r="O47" s="37"/>
      <c r="P47" s="37"/>
      <c r="Q47" s="37"/>
      <c r="R47" s="37"/>
      <c r="S47" s="37"/>
    </row>
    <row r="48" spans="1:28" s="56" customFormat="1" ht="12.75" customHeight="1">
      <c r="A48" s="54"/>
      <c r="B48" s="55"/>
      <c r="C48" s="75" t="s">
        <v>14</v>
      </c>
      <c r="D48" s="75"/>
      <c r="E48" s="37">
        <f t="shared" ref="E48:O48" si="22">E43</f>
        <v>27392.599999999991</v>
      </c>
      <c r="F48" s="37">
        <f t="shared" si="22"/>
        <v>15625.994999999995</v>
      </c>
      <c r="G48" s="37">
        <f t="shared" si="22"/>
        <v>13058.141250000001</v>
      </c>
      <c r="H48" s="37">
        <f t="shared" si="22"/>
        <v>9037.1350781250003</v>
      </c>
      <c r="I48" s="37">
        <f t="shared" si="22"/>
        <v>7907.4931933593762</v>
      </c>
      <c r="J48" s="37">
        <f t="shared" si="22"/>
        <v>5363.0740155029271</v>
      </c>
      <c r="K48" s="37">
        <f t="shared" si="22"/>
        <v>4058.0284283065848</v>
      </c>
      <c r="L48" s="37">
        <f t="shared" si="22"/>
        <v>2207.3560170078235</v>
      </c>
      <c r="M48" s="37">
        <f t="shared" si="22"/>
        <v>1825.5941696763075</v>
      </c>
      <c r="N48" s="37">
        <f t="shared" si="22"/>
        <v>1487.9442914928513</v>
      </c>
      <c r="O48" s="37">
        <f t="shared" si="22"/>
        <v>4224.7250402811442</v>
      </c>
      <c r="P48" s="37">
        <f t="shared" ref="P48:S48" si="23">P43</f>
        <v>0</v>
      </c>
      <c r="Q48" s="37">
        <f t="shared" si="23"/>
        <v>0</v>
      </c>
      <c r="R48" s="37">
        <f t="shared" si="23"/>
        <v>0</v>
      </c>
      <c r="S48" s="37">
        <f t="shared" si="23"/>
        <v>0</v>
      </c>
    </row>
    <row r="49" spans="1:19" s="56" customFormat="1" ht="12.75" customHeight="1">
      <c r="A49" s="54"/>
      <c r="B49" s="55"/>
      <c r="C49" s="75"/>
      <c r="D49" s="75"/>
      <c r="E49" s="37"/>
      <c r="F49" s="37"/>
      <c r="G49" s="37"/>
      <c r="H49" s="37"/>
      <c r="I49" s="37"/>
      <c r="J49" s="37"/>
      <c r="K49" s="37"/>
      <c r="L49" s="37"/>
      <c r="M49" s="37"/>
      <c r="N49" s="37"/>
      <c r="O49" s="37"/>
      <c r="P49" s="37"/>
      <c r="Q49" s="37"/>
      <c r="R49" s="37"/>
      <c r="S49" s="37"/>
    </row>
    <row r="50" spans="1:19" s="56" customFormat="1" ht="12.75" customHeight="1">
      <c r="A50" s="54"/>
      <c r="B50" s="55"/>
      <c r="C50" s="75" t="s">
        <v>15</v>
      </c>
      <c r="D50" s="75"/>
      <c r="E50" s="37">
        <f t="shared" ref="E50:K50" si="24">(E16-(E16*(1-E21)))*(E30*E31/100)</f>
        <v>13149.5</v>
      </c>
      <c r="F50" s="37">
        <f t="shared" si="24"/>
        <v>8108.1000000000049</v>
      </c>
      <c r="G50" s="37">
        <f t="shared" si="24"/>
        <v>6808.7250000000013</v>
      </c>
      <c r="H50" s="37">
        <f t="shared" si="24"/>
        <v>6025.8515624999991</v>
      </c>
      <c r="I50" s="37">
        <f t="shared" si="24"/>
        <v>5272.6201171875009</v>
      </c>
      <c r="J50" s="37">
        <f t="shared" si="24"/>
        <v>4613.5426025390616</v>
      </c>
      <c r="K50" s="37">
        <f t="shared" si="24"/>
        <v>4036.8497772216806</v>
      </c>
      <c r="L50" s="37">
        <f t="shared" ref="L50:S50" si="25">(L16-L17)*(L30*L31/100)</f>
        <v>3637.7665543556213</v>
      </c>
      <c r="M50" s="37">
        <f t="shared" si="25"/>
        <v>3158.7476760149002</v>
      </c>
      <c r="N50" s="37">
        <f t="shared" si="25"/>
        <v>2721.3826131820679</v>
      </c>
      <c r="O50" s="37">
        <f t="shared" si="25"/>
        <v>2344.0033836197108</v>
      </c>
      <c r="P50" s="37">
        <f t="shared" si="25"/>
        <v>0</v>
      </c>
      <c r="Q50" s="37">
        <f t="shared" si="25"/>
        <v>0</v>
      </c>
      <c r="R50" s="37">
        <f t="shared" si="25"/>
        <v>0</v>
      </c>
      <c r="S50" s="37">
        <f t="shared" si="25"/>
        <v>0</v>
      </c>
    </row>
    <row r="51" spans="1:19" s="56" customFormat="1" ht="12.75" customHeight="1">
      <c r="A51" s="54"/>
      <c r="B51" s="55"/>
      <c r="C51" s="75"/>
      <c r="D51" s="75"/>
      <c r="E51" s="37"/>
      <c r="F51" s="37"/>
      <c r="G51" s="37"/>
      <c r="H51" s="37"/>
      <c r="I51" s="37"/>
      <c r="J51" s="37"/>
      <c r="K51" s="37"/>
      <c r="L51" s="37"/>
      <c r="M51" s="37"/>
      <c r="N51" s="37"/>
      <c r="O51" s="37"/>
      <c r="P51" s="37"/>
      <c r="Q51" s="37"/>
      <c r="R51" s="37"/>
      <c r="S51" s="37"/>
    </row>
    <row r="52" spans="1:19" s="56" customFormat="1" ht="12.75" customHeight="1">
      <c r="A52" s="54"/>
      <c r="B52" s="55"/>
      <c r="C52" s="75" t="s">
        <v>63</v>
      </c>
      <c r="D52" s="75"/>
      <c r="E52" s="37">
        <f t="shared" ref="E52:S52" si="26">E30*E31/100*(E16*(1-E20-E21))</f>
        <v>63813.75</v>
      </c>
      <c r="F52" s="37">
        <f t="shared" si="26"/>
        <v>59121.5625</v>
      </c>
      <c r="G52" s="37">
        <f t="shared" si="26"/>
        <v>49646.953125</v>
      </c>
      <c r="H52" s="37">
        <f t="shared" si="26"/>
        <v>43938.5009765625</v>
      </c>
      <c r="I52" s="37">
        <f t="shared" si="26"/>
        <v>38446.188354492188</v>
      </c>
      <c r="J52" s="37">
        <f t="shared" si="26"/>
        <v>33640.414810180664</v>
      </c>
      <c r="K52" s="37">
        <f t="shared" si="26"/>
        <v>29435.362958908081</v>
      </c>
      <c r="L52" s="37">
        <f t="shared" si="26"/>
        <v>25464.365880489349</v>
      </c>
      <c r="M52" s="37">
        <f t="shared" si="26"/>
        <v>22111.233732104301</v>
      </c>
      <c r="N52" s="37">
        <f t="shared" si="26"/>
        <v>19049.678292274475</v>
      </c>
      <c r="O52" s="37">
        <f t="shared" si="26"/>
        <v>16408.023685337976</v>
      </c>
      <c r="P52" s="37">
        <f t="shared" si="26"/>
        <v>0</v>
      </c>
      <c r="Q52" s="37">
        <f t="shared" si="26"/>
        <v>0</v>
      </c>
      <c r="R52" s="37">
        <f t="shared" si="26"/>
        <v>0</v>
      </c>
      <c r="S52" s="37">
        <f t="shared" si="26"/>
        <v>0</v>
      </c>
    </row>
    <row r="53" spans="1:19" s="56" customFormat="1" ht="12.75" customHeight="1">
      <c r="A53" s="54"/>
      <c r="B53" s="55"/>
      <c r="C53" s="75"/>
      <c r="D53" s="75"/>
      <c r="E53" s="37"/>
      <c r="F53" s="37"/>
      <c r="G53" s="37"/>
      <c r="H53" s="37"/>
      <c r="I53" s="37"/>
      <c r="J53" s="37"/>
      <c r="K53" s="37"/>
      <c r="L53" s="37"/>
      <c r="M53" s="37"/>
      <c r="N53" s="37"/>
      <c r="O53" s="37"/>
      <c r="P53" s="37"/>
      <c r="Q53" s="37"/>
      <c r="R53" s="37"/>
      <c r="S53" s="37"/>
    </row>
    <row r="54" spans="1:19" s="56" customFormat="1" ht="12.75" customHeight="1">
      <c r="A54" s="54"/>
      <c r="B54" s="55"/>
      <c r="C54" s="75" t="s">
        <v>53</v>
      </c>
      <c r="D54" s="75"/>
      <c r="E54" s="27"/>
      <c r="F54" s="27"/>
      <c r="G54" s="27"/>
      <c r="H54" s="27"/>
      <c r="I54" s="27"/>
      <c r="J54" s="27"/>
      <c r="K54" s="27"/>
      <c r="L54" s="27"/>
      <c r="M54" s="27"/>
      <c r="N54" s="27"/>
      <c r="O54" s="34"/>
      <c r="P54" s="34"/>
      <c r="Q54" s="34"/>
      <c r="R54" s="34"/>
      <c r="S54" s="34"/>
    </row>
    <row r="55" spans="1:19" s="56" customFormat="1" ht="12.75" customHeight="1">
      <c r="A55" s="54"/>
      <c r="B55" s="55"/>
      <c r="C55" s="57" t="s">
        <v>59</v>
      </c>
      <c r="D55" s="76">
        <f>-E10*E11</f>
        <v>-126811.99999999999</v>
      </c>
      <c r="E55" s="37">
        <f>E48+E50</f>
        <v>40542.099999999991</v>
      </c>
      <c r="F55" s="37">
        <f t="shared" ref="F55:O55" si="27">F48+F50</f>
        <v>23734.095000000001</v>
      </c>
      <c r="G55" s="37">
        <f t="shared" si="27"/>
        <v>19866.866250000003</v>
      </c>
      <c r="H55" s="37">
        <f t="shared" si="27"/>
        <v>15062.986640625</v>
      </c>
      <c r="I55" s="37">
        <f t="shared" si="27"/>
        <v>13180.113310546876</v>
      </c>
      <c r="J55" s="37">
        <f t="shared" si="27"/>
        <v>9976.6166180419896</v>
      </c>
      <c r="K55" s="37">
        <f t="shared" si="27"/>
        <v>8094.8782055282654</v>
      </c>
      <c r="L55" s="37">
        <f t="shared" si="27"/>
        <v>5845.1225713634449</v>
      </c>
      <c r="M55" s="37">
        <f t="shared" si="27"/>
        <v>4984.3418456912077</v>
      </c>
      <c r="N55" s="37">
        <f t="shared" si="27"/>
        <v>4209.3269046749192</v>
      </c>
      <c r="O55" s="37">
        <f t="shared" si="27"/>
        <v>6568.728423900855</v>
      </c>
      <c r="P55" s="37">
        <f t="shared" ref="P55:S55" si="28">P48+P50</f>
        <v>0</v>
      </c>
      <c r="Q55" s="37">
        <f t="shared" si="28"/>
        <v>0</v>
      </c>
      <c r="R55" s="37">
        <f t="shared" si="28"/>
        <v>0</v>
      </c>
      <c r="S55" s="37">
        <f t="shared" si="28"/>
        <v>0</v>
      </c>
    </row>
    <row r="56" spans="1:19" s="56" customFormat="1" ht="12.75" customHeight="1">
      <c r="A56" s="54"/>
      <c r="B56" s="55"/>
      <c r="C56" s="75" t="s">
        <v>52</v>
      </c>
      <c r="D56" s="77">
        <f t="shared" ref="D56:O56" si="29">D55/$E$11</f>
        <v>-1268.1199999999999</v>
      </c>
      <c r="E56" s="77">
        <f t="shared" si="29"/>
        <v>405.42099999999994</v>
      </c>
      <c r="F56" s="77">
        <f t="shared" si="29"/>
        <v>237.34095000000002</v>
      </c>
      <c r="G56" s="77">
        <f t="shared" si="29"/>
        <v>198.66866250000004</v>
      </c>
      <c r="H56" s="77">
        <f t="shared" si="29"/>
        <v>150.62986640625002</v>
      </c>
      <c r="I56" s="77">
        <f t="shared" si="29"/>
        <v>131.80113310546875</v>
      </c>
      <c r="J56" s="77">
        <f t="shared" si="29"/>
        <v>99.766166180419901</v>
      </c>
      <c r="K56" s="77">
        <f t="shared" si="29"/>
        <v>80.948782055282649</v>
      </c>
      <c r="L56" s="77">
        <f t="shared" si="29"/>
        <v>58.45122571363445</v>
      </c>
      <c r="M56" s="77">
        <f t="shared" si="29"/>
        <v>49.843418456912076</v>
      </c>
      <c r="N56" s="77">
        <f t="shared" si="29"/>
        <v>42.093269046749192</v>
      </c>
      <c r="O56" s="77">
        <f t="shared" si="29"/>
        <v>65.687284239008548</v>
      </c>
      <c r="P56" s="77">
        <f t="shared" ref="P56:S56" si="30">P55/$E$11</f>
        <v>0</v>
      </c>
      <c r="Q56" s="77">
        <f t="shared" si="30"/>
        <v>0</v>
      </c>
      <c r="R56" s="77">
        <f t="shared" si="30"/>
        <v>0</v>
      </c>
      <c r="S56" s="77">
        <f t="shared" si="30"/>
        <v>0</v>
      </c>
    </row>
    <row r="57" spans="1:19" s="56" customFormat="1" ht="12.75" customHeight="1">
      <c r="A57" s="54"/>
      <c r="B57" s="55"/>
      <c r="C57" s="75"/>
      <c r="D57" s="77"/>
      <c r="E57" s="37"/>
      <c r="F57" s="37"/>
      <c r="G57" s="37"/>
      <c r="H57" s="37"/>
      <c r="I57" s="37"/>
      <c r="J57" s="37"/>
      <c r="K57" s="37"/>
      <c r="L57" s="37"/>
      <c r="M57" s="37"/>
      <c r="N57" s="37"/>
      <c r="O57" s="37"/>
      <c r="P57" s="37"/>
      <c r="Q57" s="37"/>
      <c r="R57" s="37"/>
      <c r="S57" s="37"/>
    </row>
    <row r="58" spans="1:19" s="56" customFormat="1" ht="12.75" customHeight="1">
      <c r="A58" s="54"/>
      <c r="B58" s="55"/>
      <c r="C58" s="75" t="s">
        <v>34</v>
      </c>
      <c r="D58" s="77"/>
      <c r="E58" s="37"/>
      <c r="F58" s="37"/>
      <c r="G58" s="37"/>
      <c r="H58" s="37"/>
      <c r="I58" s="37"/>
      <c r="J58" s="37"/>
      <c r="K58" s="37"/>
      <c r="L58" s="37"/>
      <c r="M58" s="37"/>
      <c r="N58" s="37"/>
      <c r="O58" s="37"/>
      <c r="P58" s="37"/>
      <c r="Q58" s="37"/>
      <c r="R58" s="37"/>
      <c r="S58" s="37"/>
    </row>
    <row r="59" spans="1:19" s="56" customFormat="1" ht="12.75" customHeight="1">
      <c r="A59" s="54"/>
      <c r="B59" s="55"/>
      <c r="C59" s="70" t="s">
        <v>61</v>
      </c>
      <c r="D59" s="77"/>
      <c r="E59" s="37"/>
      <c r="F59" s="37"/>
      <c r="G59" s="37"/>
      <c r="H59" s="37"/>
      <c r="I59" s="37"/>
      <c r="J59" s="37"/>
      <c r="K59" s="37"/>
      <c r="L59" s="37"/>
      <c r="M59" s="37"/>
      <c r="N59" s="37"/>
      <c r="O59" s="37"/>
      <c r="P59" s="37"/>
      <c r="Q59" s="37"/>
      <c r="R59" s="37"/>
      <c r="S59" s="37"/>
    </row>
    <row r="60" spans="1:19" s="56" customFormat="1" ht="12.75" customHeight="1">
      <c r="A60" s="54"/>
      <c r="B60" s="55"/>
      <c r="C60" s="57" t="s">
        <v>59</v>
      </c>
      <c r="D60" s="78">
        <f>IF(OR(D55&lt;0,D55&gt;0),D55,0)</f>
        <v>-126811.99999999999</v>
      </c>
      <c r="E60" s="29">
        <f t="shared" ref="E60:O60" si="31">IF(OR(E55&lt;0,E55&gt;0),D60+E55,NA())</f>
        <v>-86269.9</v>
      </c>
      <c r="F60" s="29">
        <f t="shared" si="31"/>
        <v>-62535.804999999993</v>
      </c>
      <c r="G60" s="29">
        <f t="shared" si="31"/>
        <v>-42668.938749999987</v>
      </c>
      <c r="H60" s="29">
        <f t="shared" si="31"/>
        <v>-27605.952109374986</v>
      </c>
      <c r="I60" s="29">
        <f t="shared" si="31"/>
        <v>-14425.83879882811</v>
      </c>
      <c r="J60" s="29">
        <f t="shared" si="31"/>
        <v>-4449.2221807861206</v>
      </c>
      <c r="K60" s="29">
        <f t="shared" si="31"/>
        <v>3645.6560247421448</v>
      </c>
      <c r="L60" s="29">
        <f t="shared" si="31"/>
        <v>9490.7785961055888</v>
      </c>
      <c r="M60" s="29">
        <f t="shared" si="31"/>
        <v>14475.120441796797</v>
      </c>
      <c r="N60" s="29">
        <f t="shared" si="31"/>
        <v>18684.447346471716</v>
      </c>
      <c r="O60" s="29">
        <f t="shared" si="31"/>
        <v>25253.175770372571</v>
      </c>
      <c r="P60" s="29" t="e">
        <f t="shared" ref="P60" si="32">IF(OR(P55&lt;0,P55&gt;0),O60+P55,NA())</f>
        <v>#N/A</v>
      </c>
      <c r="Q60" s="29" t="e">
        <f t="shared" ref="Q60" si="33">IF(OR(Q55&lt;0,Q55&gt;0),P60+Q55,NA())</f>
        <v>#N/A</v>
      </c>
      <c r="R60" s="29" t="e">
        <f t="shared" ref="R60" si="34">IF(OR(R55&lt;0,R55&gt;0),Q60+R55,NA())</f>
        <v>#N/A</v>
      </c>
      <c r="S60" s="29" t="e">
        <f t="shared" ref="S60" si="35">IF(OR(S55&lt;0,S55&gt;0),R60+S55,NA())</f>
        <v>#N/A</v>
      </c>
    </row>
    <row r="61" spans="1:19" s="56" customFormat="1" ht="12.75" customHeight="1">
      <c r="A61" s="54"/>
      <c r="B61" s="55"/>
      <c r="C61" s="75" t="s">
        <v>52</v>
      </c>
      <c r="D61" s="79">
        <f>D60/$E$11</f>
        <v>-1268.1199999999999</v>
      </c>
      <c r="E61" s="79">
        <f t="shared" ref="E61:O61" si="36">E60/$E$11</f>
        <v>-862.69899999999996</v>
      </c>
      <c r="F61" s="79">
        <f t="shared" si="36"/>
        <v>-625.35804999999993</v>
      </c>
      <c r="G61" s="79">
        <f t="shared" si="36"/>
        <v>-426.68938749999984</v>
      </c>
      <c r="H61" s="79">
        <f t="shared" si="36"/>
        <v>-276.05952109374988</v>
      </c>
      <c r="I61" s="79">
        <f t="shared" si="36"/>
        <v>-144.2583879882811</v>
      </c>
      <c r="J61" s="79">
        <f t="shared" si="36"/>
        <v>-44.492221807861206</v>
      </c>
      <c r="K61" s="79">
        <f t="shared" si="36"/>
        <v>36.45656024742145</v>
      </c>
      <c r="L61" s="79">
        <f t="shared" si="36"/>
        <v>94.907785961055893</v>
      </c>
      <c r="M61" s="79">
        <f t="shared" si="36"/>
        <v>144.75120441796795</v>
      </c>
      <c r="N61" s="79">
        <f t="shared" si="36"/>
        <v>186.84447346471717</v>
      </c>
      <c r="O61" s="79">
        <f t="shared" si="36"/>
        <v>252.5317577037257</v>
      </c>
      <c r="P61" s="79" t="e">
        <f t="shared" ref="P61:S61" si="37">P60/$E$11</f>
        <v>#N/A</v>
      </c>
      <c r="Q61" s="79" t="e">
        <f t="shared" si="37"/>
        <v>#N/A</v>
      </c>
      <c r="R61" s="79" t="e">
        <f t="shared" si="37"/>
        <v>#N/A</v>
      </c>
      <c r="S61" s="79" t="e">
        <f t="shared" si="37"/>
        <v>#N/A</v>
      </c>
    </row>
    <row r="62" spans="1:19" s="56" customFormat="1" ht="12.75" customHeight="1">
      <c r="A62" s="54"/>
      <c r="B62" s="55"/>
      <c r="C62" s="75"/>
      <c r="D62" s="80"/>
      <c r="E62" s="31"/>
      <c r="F62" s="31"/>
      <c r="G62" s="31"/>
      <c r="H62" s="71"/>
      <c r="I62" s="71"/>
      <c r="J62" s="71"/>
      <c r="K62" s="71"/>
      <c r="L62" s="71"/>
      <c r="M62" s="71"/>
      <c r="N62" s="71"/>
      <c r="O62" s="71"/>
      <c r="P62" s="71"/>
      <c r="Q62" s="71"/>
      <c r="R62" s="71"/>
      <c r="S62" s="71"/>
    </row>
    <row r="63" spans="1:19" s="56" customFormat="1" ht="12.75" customHeight="1">
      <c r="A63" s="54"/>
      <c r="B63" s="55"/>
      <c r="C63" s="81" t="s">
        <v>36</v>
      </c>
      <c r="D63" s="82" t="s">
        <v>19</v>
      </c>
      <c r="E63" s="72">
        <f t="shared" ref="E63:S63" si="38">E15</f>
        <v>2016</v>
      </c>
      <c r="F63" s="72">
        <f t="shared" si="38"/>
        <v>2017</v>
      </c>
      <c r="G63" s="72">
        <f t="shared" si="38"/>
        <v>2018</v>
      </c>
      <c r="H63" s="72">
        <f t="shared" si="38"/>
        <v>2019</v>
      </c>
      <c r="I63" s="72">
        <f t="shared" si="38"/>
        <v>2020</v>
      </c>
      <c r="J63" s="72">
        <f t="shared" si="38"/>
        <v>2021</v>
      </c>
      <c r="K63" s="72">
        <f t="shared" si="38"/>
        <v>2022</v>
      </c>
      <c r="L63" s="72">
        <f t="shared" si="38"/>
        <v>2023</v>
      </c>
      <c r="M63" s="72">
        <f t="shared" si="38"/>
        <v>2024</v>
      </c>
      <c r="N63" s="72">
        <f t="shared" si="38"/>
        <v>2025</v>
      </c>
      <c r="O63" s="72">
        <f t="shared" si="38"/>
        <v>2026</v>
      </c>
      <c r="P63" s="72">
        <f t="shared" si="38"/>
        <v>2027</v>
      </c>
      <c r="Q63" s="72">
        <f t="shared" si="38"/>
        <v>2028</v>
      </c>
      <c r="R63" s="72">
        <f t="shared" si="38"/>
        <v>2029</v>
      </c>
      <c r="S63" s="72">
        <f t="shared" si="38"/>
        <v>2030</v>
      </c>
    </row>
    <row r="64" spans="1:19" s="56" customFormat="1" ht="12.75" customHeight="1">
      <c r="A64" s="54"/>
      <c r="B64" s="55"/>
      <c r="C64" s="81"/>
      <c r="D64" s="74" t="s">
        <v>22</v>
      </c>
      <c r="E64" s="74" t="s">
        <v>23</v>
      </c>
      <c r="F64" s="74" t="s">
        <v>24</v>
      </c>
      <c r="G64" s="74" t="s">
        <v>25</v>
      </c>
      <c r="H64" s="74" t="s">
        <v>26</v>
      </c>
      <c r="I64" s="74" t="s">
        <v>27</v>
      </c>
      <c r="J64" s="74" t="s">
        <v>28</v>
      </c>
      <c r="K64" s="74" t="s">
        <v>29</v>
      </c>
      <c r="L64" s="74" t="s">
        <v>30</v>
      </c>
      <c r="M64" s="74" t="s">
        <v>31</v>
      </c>
      <c r="N64" s="74" t="s">
        <v>32</v>
      </c>
      <c r="O64" s="74" t="s">
        <v>33</v>
      </c>
      <c r="P64" s="74" t="s">
        <v>72</v>
      </c>
      <c r="Q64" s="74" t="s">
        <v>73</v>
      </c>
      <c r="R64" s="74" t="s">
        <v>74</v>
      </c>
      <c r="S64" s="74" t="s">
        <v>75</v>
      </c>
    </row>
    <row r="65" spans="1:19" s="56" customFormat="1" ht="12.75" customHeight="1">
      <c r="A65" s="54"/>
      <c r="B65" s="55"/>
      <c r="C65" s="66" t="s">
        <v>20</v>
      </c>
      <c r="D65" s="74"/>
      <c r="E65" s="74"/>
      <c r="F65" s="74"/>
      <c r="G65" s="74"/>
      <c r="H65" s="74"/>
      <c r="I65" s="74"/>
      <c r="J65" s="74"/>
      <c r="K65" s="74"/>
      <c r="L65" s="74"/>
      <c r="M65" s="74"/>
      <c r="N65" s="74"/>
      <c r="O65" s="74"/>
      <c r="P65" s="74"/>
      <c r="Q65" s="74"/>
      <c r="R65" s="74"/>
      <c r="S65" s="74"/>
    </row>
    <row r="66" spans="1:19" s="56" customFormat="1" ht="12.75" customHeight="1">
      <c r="A66" s="54"/>
      <c r="B66" s="55"/>
      <c r="C66" s="70" t="s">
        <v>61</v>
      </c>
      <c r="D66" s="71"/>
      <c r="E66" s="71"/>
      <c r="F66" s="71"/>
      <c r="G66" s="71"/>
      <c r="H66" s="71"/>
      <c r="I66" s="71"/>
      <c r="J66" s="71"/>
      <c r="K66" s="71"/>
      <c r="L66" s="71"/>
      <c r="M66" s="71"/>
      <c r="N66" s="71"/>
      <c r="O66" s="71"/>
      <c r="P66" s="71"/>
      <c r="Q66" s="71"/>
      <c r="R66" s="71"/>
      <c r="S66" s="71"/>
    </row>
    <row r="67" spans="1:19" s="56" customFormat="1" ht="12.75" customHeight="1">
      <c r="A67" s="54"/>
      <c r="B67" s="55"/>
      <c r="C67" s="57" t="s">
        <v>59</v>
      </c>
      <c r="D67" s="79">
        <f>D55</f>
        <v>-126811.99999999999</v>
      </c>
      <c r="E67" s="83">
        <f>E55/(1+$O$11)^1</f>
        <v>38611.523809523802</v>
      </c>
      <c r="F67" s="83">
        <f>F55/(1+$O$11)^2</f>
        <v>21527.523809523809</v>
      </c>
      <c r="G67" s="83">
        <f>G55/(1+$O$11)^3</f>
        <v>17161.746031746032</v>
      </c>
      <c r="H67" s="83">
        <f>H55/(1+$O$11)^4</f>
        <v>12392.356386999245</v>
      </c>
      <c r="I67" s="83">
        <f>I55/(1+$O$11)^5</f>
        <v>10326.963655832704</v>
      </c>
      <c r="J67" s="83">
        <f>J55/(1+$O$11)^6</f>
        <v>7444.7049267237744</v>
      </c>
      <c r="K67" s="83">
        <f>K55/(1+$O$11)^7</f>
        <v>5752.8788103461584</v>
      </c>
      <c r="L67" s="84">
        <f>L55/(1+$O$11)^8</f>
        <v>3956.2090321811133</v>
      </c>
      <c r="M67" s="83">
        <f>M55/(1+$O$11)^9</f>
        <v>3212.9511952100247</v>
      </c>
      <c r="N67" s="83">
        <f>N55/(1+$O$11)^10</f>
        <v>2584.1615752656335</v>
      </c>
      <c r="O67" s="83">
        <f>O55/(1+$O$11)^11</f>
        <v>3840.5994650882262</v>
      </c>
      <c r="P67" s="83">
        <f t="shared" ref="P67:S67" si="39">P55/(1+$O$11)^11</f>
        <v>0</v>
      </c>
      <c r="Q67" s="83">
        <f t="shared" si="39"/>
        <v>0</v>
      </c>
      <c r="R67" s="83">
        <f t="shared" si="39"/>
        <v>0</v>
      </c>
      <c r="S67" s="83">
        <f t="shared" si="39"/>
        <v>0</v>
      </c>
    </row>
    <row r="68" spans="1:19" s="56" customFormat="1" ht="12.75" customHeight="1">
      <c r="A68" s="54"/>
      <c r="B68" s="55"/>
      <c r="C68" s="75" t="s">
        <v>52</v>
      </c>
      <c r="D68" s="79">
        <f>D67/$E$11</f>
        <v>-1268.1199999999999</v>
      </c>
      <c r="E68" s="85">
        <f>E67/$E$11</f>
        <v>386.115238095238</v>
      </c>
      <c r="F68" s="79">
        <f t="shared" ref="F68:O68" si="40">F67/$E$11</f>
        <v>215.27523809523808</v>
      </c>
      <c r="G68" s="79">
        <f t="shared" si="40"/>
        <v>171.61746031746031</v>
      </c>
      <c r="H68" s="79">
        <f t="shared" si="40"/>
        <v>123.92356386999245</v>
      </c>
      <c r="I68" s="79">
        <f t="shared" si="40"/>
        <v>103.26963655832704</v>
      </c>
      <c r="J68" s="79">
        <f t="shared" si="40"/>
        <v>74.447049267237745</v>
      </c>
      <c r="K68" s="79">
        <f t="shared" si="40"/>
        <v>57.528788103461586</v>
      </c>
      <c r="L68" s="79">
        <f t="shared" si="40"/>
        <v>39.562090321811134</v>
      </c>
      <c r="M68" s="79">
        <f t="shared" si="40"/>
        <v>32.129511952100245</v>
      </c>
      <c r="N68" s="79">
        <f t="shared" si="40"/>
        <v>25.841615752656335</v>
      </c>
      <c r="O68" s="79">
        <f t="shared" si="40"/>
        <v>38.405994650882263</v>
      </c>
      <c r="P68" s="79">
        <f t="shared" ref="P68:S68" si="41">P67/$E$11</f>
        <v>0</v>
      </c>
      <c r="Q68" s="79">
        <f t="shared" si="41"/>
        <v>0</v>
      </c>
      <c r="R68" s="79">
        <f t="shared" si="41"/>
        <v>0</v>
      </c>
      <c r="S68" s="79">
        <f t="shared" si="41"/>
        <v>0</v>
      </c>
    </row>
    <row r="69" spans="1:19" s="56" customFormat="1" ht="12.75" customHeight="1">
      <c r="A69" s="54"/>
      <c r="B69" s="55"/>
      <c r="C69" s="75"/>
      <c r="D69" s="79"/>
      <c r="E69" s="83"/>
      <c r="F69" s="83"/>
      <c r="G69" s="83"/>
      <c r="H69" s="83"/>
      <c r="I69" s="83"/>
      <c r="J69" s="83"/>
      <c r="K69" s="83"/>
      <c r="L69" s="84"/>
      <c r="M69" s="83"/>
      <c r="N69" s="83"/>
      <c r="O69" s="83"/>
      <c r="P69" s="83"/>
      <c r="Q69" s="83"/>
      <c r="R69" s="83"/>
      <c r="S69" s="83"/>
    </row>
    <row r="70" spans="1:19" s="56" customFormat="1" ht="12.75" customHeight="1">
      <c r="A70" s="54"/>
      <c r="B70" s="55"/>
      <c r="C70" s="70" t="s">
        <v>48</v>
      </c>
      <c r="D70" s="80"/>
      <c r="E70" s="31"/>
      <c r="F70" s="31"/>
      <c r="G70" s="31"/>
      <c r="H70" s="71"/>
      <c r="I70" s="71"/>
      <c r="J70" s="71"/>
      <c r="K70" s="71"/>
      <c r="L70" s="71"/>
      <c r="M70" s="71"/>
      <c r="N70" s="71"/>
      <c r="O70" s="71"/>
      <c r="P70" s="71"/>
      <c r="Q70" s="71"/>
      <c r="R70" s="71"/>
      <c r="S70" s="71"/>
    </row>
    <row r="71" spans="1:19" s="56" customFormat="1" ht="12.75" customHeight="1">
      <c r="A71" s="54"/>
      <c r="B71" s="55"/>
      <c r="C71" s="70" t="s">
        <v>69</v>
      </c>
      <c r="D71" s="80"/>
      <c r="E71" s="31"/>
      <c r="F71" s="31"/>
      <c r="G71" s="31"/>
      <c r="H71" s="71"/>
      <c r="I71" s="71"/>
      <c r="J71" s="71"/>
      <c r="K71" s="71"/>
      <c r="L71" s="71"/>
      <c r="M71" s="71"/>
      <c r="N71" s="71"/>
      <c r="O71" s="71"/>
      <c r="P71" s="71"/>
      <c r="Q71" s="71"/>
      <c r="R71" s="71"/>
      <c r="S71" s="71"/>
    </row>
    <row r="72" spans="1:19" s="56" customFormat="1" ht="12.75" customHeight="1">
      <c r="A72" s="54"/>
      <c r="B72" s="55"/>
      <c r="C72" s="57" t="s">
        <v>59</v>
      </c>
      <c r="D72" s="79">
        <f>IF(OR(D67&lt;0,D67&gt;0),D67,0)</f>
        <v>-126811.99999999999</v>
      </c>
      <c r="E72" s="37">
        <f>IF(OR(E67&lt;0,E67&gt;0),D72+E67,NA())</f>
        <v>-88200.476190476184</v>
      </c>
      <c r="F72" s="37">
        <f t="shared" ref="F72:M72" si="42">IF(OR(F67&lt;0,F67&gt;0),E72+F67,NA())</f>
        <v>-66672.952380952367</v>
      </c>
      <c r="G72" s="37">
        <f t="shared" si="42"/>
        <v>-49511.206349206332</v>
      </c>
      <c r="H72" s="37">
        <f t="shared" si="42"/>
        <v>-37118.849962207089</v>
      </c>
      <c r="I72" s="37">
        <f t="shared" si="42"/>
        <v>-26791.886306374385</v>
      </c>
      <c r="J72" s="37">
        <f t="shared" si="42"/>
        <v>-19347.18137965061</v>
      </c>
      <c r="K72" s="37">
        <f t="shared" si="42"/>
        <v>-13594.302569304451</v>
      </c>
      <c r="L72" s="37">
        <f t="shared" si="42"/>
        <v>-9638.0935371233372</v>
      </c>
      <c r="M72" s="37">
        <f t="shared" si="42"/>
        <v>-6425.1423419133125</v>
      </c>
      <c r="N72" s="37">
        <f>IF(OR(N67&lt;0,N67&gt;0),M72+N67,NA())</f>
        <v>-3840.980766647679</v>
      </c>
      <c r="O72" s="37">
        <f>IF(OR(O67&lt;0,O67&gt;0),N72+O67,NA())</f>
        <v>-0.3813015594528224</v>
      </c>
      <c r="P72" s="37" t="e">
        <f t="shared" ref="P72:S72" si="43">IF(OR(P67&lt;0,P67&gt;0),O72+P67,NA())</f>
        <v>#N/A</v>
      </c>
      <c r="Q72" s="37" t="e">
        <f t="shared" si="43"/>
        <v>#N/A</v>
      </c>
      <c r="R72" s="37" t="e">
        <f t="shared" si="43"/>
        <v>#N/A</v>
      </c>
      <c r="S72" s="37" t="e">
        <f t="shared" si="43"/>
        <v>#N/A</v>
      </c>
    </row>
    <row r="73" spans="1:19" s="56" customFormat="1" ht="12.75" customHeight="1">
      <c r="A73" s="54"/>
      <c r="B73" s="55"/>
      <c r="C73" s="75" t="s">
        <v>52</v>
      </c>
      <c r="D73" s="79">
        <f>D72/$E$11</f>
        <v>-1268.1199999999999</v>
      </c>
      <c r="E73" s="79">
        <f t="shared" ref="E73:M73" si="44">E72/$E$11</f>
        <v>-882.00476190476184</v>
      </c>
      <c r="F73" s="79">
        <f t="shared" si="44"/>
        <v>-666.7295238095237</v>
      </c>
      <c r="G73" s="79">
        <f t="shared" si="44"/>
        <v>-495.11206349206333</v>
      </c>
      <c r="H73" s="79">
        <f t="shared" si="44"/>
        <v>-371.18849962207088</v>
      </c>
      <c r="I73" s="79">
        <f t="shared" si="44"/>
        <v>-267.91886306374386</v>
      </c>
      <c r="J73" s="79">
        <f t="shared" si="44"/>
        <v>-193.4718137965061</v>
      </c>
      <c r="K73" s="79">
        <f t="shared" si="44"/>
        <v>-135.94302569304452</v>
      </c>
      <c r="L73" s="79">
        <f t="shared" si="44"/>
        <v>-96.380935371233377</v>
      </c>
      <c r="M73" s="79">
        <f t="shared" si="44"/>
        <v>-64.251423419133118</v>
      </c>
      <c r="N73" s="85">
        <f>N72/$E$11</f>
        <v>-38.409807666476787</v>
      </c>
      <c r="O73" s="79">
        <f>O72/$E$11</f>
        <v>-3.8130155945282239E-3</v>
      </c>
      <c r="P73" s="79" t="e">
        <f t="shared" ref="P73:S73" si="45">P72/$E$11</f>
        <v>#N/A</v>
      </c>
      <c r="Q73" s="79" t="e">
        <f t="shared" si="45"/>
        <v>#N/A</v>
      </c>
      <c r="R73" s="79" t="e">
        <f t="shared" si="45"/>
        <v>#N/A</v>
      </c>
      <c r="S73" s="79" t="e">
        <f t="shared" si="45"/>
        <v>#N/A</v>
      </c>
    </row>
    <row r="74" spans="1:19" s="56" customFormat="1" ht="12.75" customHeight="1">
      <c r="A74" s="54"/>
      <c r="B74" s="55"/>
      <c r="C74" s="66"/>
      <c r="D74" s="79"/>
      <c r="E74" s="37"/>
      <c r="F74" s="37"/>
      <c r="G74" s="37"/>
      <c r="H74" s="37"/>
      <c r="I74" s="37"/>
      <c r="J74" s="37"/>
      <c r="K74" s="37"/>
      <c r="L74" s="37"/>
      <c r="M74" s="37"/>
      <c r="N74" s="37"/>
      <c r="O74" s="37"/>
      <c r="P74" s="37"/>
      <c r="Q74" s="37"/>
      <c r="R74" s="37"/>
      <c r="S74" s="37"/>
    </row>
    <row r="75" spans="1:19" s="56" customFormat="1" ht="12.75" customHeight="1">
      <c r="A75" s="54"/>
      <c r="B75" s="55"/>
      <c r="C75" s="59" t="s">
        <v>60</v>
      </c>
    </row>
    <row r="76" spans="1:19" s="56" customFormat="1" ht="12.75" customHeight="1">
      <c r="A76" s="54"/>
      <c r="B76" s="55"/>
      <c r="C76" s="59"/>
      <c r="E76" s="73">
        <f t="shared" ref="E76:S76" si="46">E15</f>
        <v>2016</v>
      </c>
      <c r="F76" s="73">
        <f t="shared" si="46"/>
        <v>2017</v>
      </c>
      <c r="G76" s="73">
        <f t="shared" si="46"/>
        <v>2018</v>
      </c>
      <c r="H76" s="73">
        <f t="shared" si="46"/>
        <v>2019</v>
      </c>
      <c r="I76" s="73">
        <f t="shared" si="46"/>
        <v>2020</v>
      </c>
      <c r="J76" s="73">
        <f t="shared" si="46"/>
        <v>2021</v>
      </c>
      <c r="K76" s="73">
        <f t="shared" si="46"/>
        <v>2022</v>
      </c>
      <c r="L76" s="73">
        <f t="shared" si="46"/>
        <v>2023</v>
      </c>
      <c r="M76" s="73">
        <f t="shared" si="46"/>
        <v>2024</v>
      </c>
      <c r="N76" s="73">
        <f t="shared" si="46"/>
        <v>2025</v>
      </c>
      <c r="O76" s="73">
        <f t="shared" si="46"/>
        <v>2026</v>
      </c>
      <c r="P76" s="73">
        <f t="shared" si="46"/>
        <v>2027</v>
      </c>
      <c r="Q76" s="73">
        <f t="shared" si="46"/>
        <v>2028</v>
      </c>
      <c r="R76" s="73">
        <f t="shared" si="46"/>
        <v>2029</v>
      </c>
      <c r="S76" s="73">
        <f t="shared" si="46"/>
        <v>2030</v>
      </c>
    </row>
    <row r="77" spans="1:19" s="56" customFormat="1" ht="12.75" customHeight="1">
      <c r="A77" s="54"/>
      <c r="B77" s="55"/>
      <c r="C77" s="70" t="s">
        <v>77</v>
      </c>
      <c r="D77" s="66"/>
      <c r="E77" s="27">
        <f>IF(E18="Yes",E78*$E$11,"")</f>
        <v>41802.211309523802</v>
      </c>
      <c r="F77" s="27">
        <f t="shared" ref="F77:S77" si="47">IF(F18="Yes",F78*$E$11,"")</f>
        <v>63095.125744047604</v>
      </c>
      <c r="G77" s="27">
        <f t="shared" si="47"/>
        <v>79783.141307043639</v>
      </c>
      <c r="H77" s="27">
        <f t="shared" si="47"/>
        <v>91890.075086621</v>
      </c>
      <c r="I77" s="27">
        <f t="shared" si="47"/>
        <v>101942.4231113502</v>
      </c>
      <c r="J77" s="27">
        <f t="shared" si="47"/>
        <v>109146.8393608584</v>
      </c>
      <c r="K77" s="27">
        <f t="shared" si="47"/>
        <v>114689.46557864094</v>
      </c>
      <c r="L77" s="27">
        <f t="shared" si="47"/>
        <v>118447.1247569011</v>
      </c>
      <c r="M77" s="27">
        <f t="shared" si="47"/>
        <v>121492.41934469187</v>
      </c>
      <c r="N77" s="27">
        <f t="shared" si="47"/>
        <v>123923.50314796604</v>
      </c>
      <c r="O77" s="27">
        <f t="shared" si="47"/>
        <v>127632.01988270742</v>
      </c>
      <c r="P77" s="27" t="str">
        <f t="shared" si="47"/>
        <v/>
      </c>
      <c r="Q77" s="27" t="str">
        <f t="shared" si="47"/>
        <v/>
      </c>
      <c r="R77" s="27" t="str">
        <f t="shared" si="47"/>
        <v/>
      </c>
      <c r="S77" s="27" t="str">
        <f t="shared" si="47"/>
        <v/>
      </c>
    </row>
    <row r="78" spans="1:19" s="56" customFormat="1" ht="12.75" customHeight="1">
      <c r="A78" s="54"/>
      <c r="B78" s="55"/>
      <c r="C78" s="70" t="s">
        <v>78</v>
      </c>
      <c r="D78" s="66"/>
      <c r="E78" s="27">
        <f>IF(E18="Yes",(SUM($E67:E67)/$E$11)+(E52/$E$11)*$O$11,"")</f>
        <v>418.02211309523801</v>
      </c>
      <c r="F78" s="27">
        <f>IF(F18="Yes",(SUM($E67:F67)/$E$11)+(F52/$E$11)*$O$11,"")</f>
        <v>630.95125744047607</v>
      </c>
      <c r="G78" s="27">
        <f>IF(G18="Yes",(SUM($E67:G67)/$E$11)+(G52/$E$11)*$O$11,"")</f>
        <v>797.83141307043638</v>
      </c>
      <c r="H78" s="27">
        <f>IF(H18="Yes",(SUM($E67:H67)/$E$11)+(H52/$E$11)*$O$11,"")</f>
        <v>918.90075086621005</v>
      </c>
      <c r="I78" s="27">
        <f>IF(I18="Yes",(SUM($E67:I67)/$E$11)+(I52/$E$11)*$O$11,"")</f>
        <v>1019.4242311135021</v>
      </c>
      <c r="J78" s="27">
        <f>IF(J18="Yes",(SUM($E67:J67)/$E$11)+(J52/$E$11)*$O$11,"")</f>
        <v>1091.4683936085839</v>
      </c>
      <c r="K78" s="27">
        <f>IF(K18="Yes",(SUM($E67:K67)/$E$11)+(K52/$E$11)*$O$11,"")</f>
        <v>1146.8946557864094</v>
      </c>
      <c r="L78" s="27">
        <f>IF(L18="Yes",(SUM($E67:L67)/$E$11)+(L52/$E$11)*$O$11,"")</f>
        <v>1184.471247569011</v>
      </c>
      <c r="M78" s="27">
        <f>IF(M18="Yes",(SUM($E67:M67)/$E$11)+(M52/$E$11)*$O$11,"")</f>
        <v>1214.9241934469187</v>
      </c>
      <c r="N78" s="27">
        <f>IF(N18="Yes",(SUM($E67:N67)/$E$11)+(N52/$E$11)*$O$11,"")</f>
        <v>1239.2350314796604</v>
      </c>
      <c r="O78" s="27">
        <f>IF(O18="Yes",(SUM($E67:O67)/$E$11)+(O52/$E$11)*$O$11,"")</f>
        <v>1276.3201988270741</v>
      </c>
      <c r="P78" s="27" t="str">
        <f>IF(P18="Yes",(SUM($E67:P67)/$E$11)+(P52/$E$11)*$O$11,"")</f>
        <v/>
      </c>
      <c r="Q78" s="27" t="str">
        <f>IF(Q18="Yes",(SUM($E67:Q67)/$E$11)+(Q52/$E$11)*$O$11,"")</f>
        <v/>
      </c>
      <c r="R78" s="27" t="str">
        <f>IF(R18="Yes",(SUM($E67:R67)/$E$11)+(R52/$E$11)*$O$11,"")</f>
        <v/>
      </c>
      <c r="S78" s="27" t="str">
        <f>IF(S18="Yes",(SUM($E67:S67)/$E$11)+(S52/$E$11)*$O$11,"")</f>
        <v/>
      </c>
    </row>
    <row r="79" spans="1:19" s="56" customFormat="1" ht="12.75" customHeight="1">
      <c r="A79" s="54"/>
      <c r="B79" s="55"/>
      <c r="C79" s="70"/>
      <c r="D79" s="66"/>
      <c r="E79" s="34"/>
      <c r="F79" s="34"/>
      <c r="G79" s="34"/>
      <c r="H79" s="34"/>
      <c r="I79" s="34"/>
      <c r="J79" s="34"/>
      <c r="K79" s="34"/>
      <c r="L79" s="34"/>
      <c r="M79" s="34"/>
      <c r="N79" s="34"/>
      <c r="O79" s="34"/>
    </row>
    <row r="80" spans="1:19" s="56" customFormat="1" ht="12.75" customHeight="1">
      <c r="A80" s="54"/>
      <c r="B80" s="55"/>
      <c r="C80" s="81" t="s">
        <v>40</v>
      </c>
      <c r="D80" s="66"/>
      <c r="E80" s="8"/>
      <c r="F80" s="8"/>
      <c r="G80" s="8"/>
    </row>
    <row r="81" spans="1:18" s="56" customFormat="1" ht="12.75" customHeight="1">
      <c r="A81" s="54"/>
      <c r="B81" s="55"/>
      <c r="C81" s="81"/>
      <c r="D81" s="66"/>
      <c r="E81" s="8"/>
      <c r="F81" s="8"/>
      <c r="G81" s="8"/>
    </row>
    <row r="82" spans="1:18" s="88" customFormat="1" ht="12.75" customHeight="1">
      <c r="A82" s="86"/>
      <c r="B82" s="87"/>
      <c r="C82" s="88" t="s">
        <v>41</v>
      </c>
      <c r="I82" s="88" t="s">
        <v>42</v>
      </c>
    </row>
    <row r="83" spans="1:18" s="56" customFormat="1" ht="12.75" customHeight="1">
      <c r="A83" s="54"/>
      <c r="B83" s="55"/>
      <c r="F83" s="73" t="s">
        <v>59</v>
      </c>
      <c r="G83" s="73" t="s">
        <v>52</v>
      </c>
      <c r="N83" s="73" t="s">
        <v>59</v>
      </c>
      <c r="O83" s="73" t="s">
        <v>52</v>
      </c>
    </row>
    <row r="84" spans="1:18" s="56" customFormat="1" ht="12.75" customHeight="1">
      <c r="A84" s="54"/>
      <c r="B84" s="55"/>
      <c r="C84" s="119" t="s">
        <v>62</v>
      </c>
      <c r="D84" s="119"/>
      <c r="E84" s="119"/>
      <c r="F84" s="89">
        <f>SUM(E55:S55)/O10</f>
        <v>13824.106888215687</v>
      </c>
      <c r="G84" s="90">
        <f>SUM(E56:S56)/O10</f>
        <v>138.24106888215687</v>
      </c>
      <c r="I84" s="119" t="s">
        <v>64</v>
      </c>
      <c r="J84" s="119"/>
      <c r="K84" s="119"/>
      <c r="L84" s="119"/>
      <c r="M84" s="119"/>
      <c r="N84" s="91">
        <f>SUM(E67:S67)/O10</f>
        <v>11528.328972585501</v>
      </c>
      <c r="O84" s="92">
        <f>SUM(E68:S68)/O10</f>
        <v>115.28328972585504</v>
      </c>
      <c r="Q84" s="68"/>
      <c r="R84" s="93"/>
    </row>
    <row r="85" spans="1:18" s="56" customFormat="1" ht="12.75" customHeight="1">
      <c r="A85" s="54"/>
      <c r="B85" s="55"/>
      <c r="C85" s="94"/>
      <c r="D85" s="94"/>
      <c r="E85" s="94"/>
      <c r="F85" s="95"/>
      <c r="G85" s="88"/>
      <c r="I85" s="96"/>
      <c r="J85" s="97"/>
      <c r="K85" s="97"/>
      <c r="L85" s="25"/>
      <c r="N85" s="98"/>
      <c r="O85" s="94"/>
      <c r="Q85" s="68"/>
    </row>
    <row r="86" spans="1:18" s="56" customFormat="1" ht="12.75" customHeight="1">
      <c r="A86" s="54"/>
      <c r="B86" s="55"/>
      <c r="C86" s="119" t="s">
        <v>66</v>
      </c>
      <c r="D86" s="119"/>
      <c r="E86" s="119"/>
      <c r="F86" s="120">
        <f>IRR(D56:S56)</f>
        <v>4.9999106225133705E-2</v>
      </c>
      <c r="G86" s="120"/>
      <c r="I86" s="119" t="s">
        <v>65</v>
      </c>
      <c r="J86" s="119"/>
      <c r="K86" s="119"/>
      <c r="L86" s="119"/>
      <c r="M86" s="119"/>
      <c r="N86" s="99">
        <f>NPV(O11,E55:S55)+D55</f>
        <v>-0.38130155946419109</v>
      </c>
      <c r="O86" s="100">
        <f>N86/$E$11</f>
        <v>-3.8130155946419107E-3</v>
      </c>
      <c r="Q86" s="58"/>
    </row>
    <row r="87" spans="1:18" s="56" customFormat="1" ht="12.75" customHeight="1">
      <c r="A87" s="54"/>
      <c r="B87" s="55"/>
      <c r="C87" s="94"/>
      <c r="D87" s="94"/>
      <c r="E87" s="94"/>
      <c r="G87" s="95"/>
      <c r="I87" s="88"/>
      <c r="J87" s="88"/>
      <c r="K87" s="88"/>
      <c r="L87" s="88"/>
      <c r="M87" s="88"/>
    </row>
    <row r="88" spans="1:18" s="56" customFormat="1" ht="12.75" customHeight="1">
      <c r="A88" s="54"/>
      <c r="B88" s="55"/>
      <c r="C88" s="119" t="s">
        <v>67</v>
      </c>
      <c r="D88" s="119"/>
      <c r="E88" s="119"/>
      <c r="F88" s="121">
        <f>IF(SUM($D$55:$E$55)&gt;0,1,IF(SUM($D$55:$F$55)&gt;0,2,IF(SUM($D$55:$G$55)&gt;0,3,IF(SUM($D$55:$H$55)&gt;0,4,IF(SUM($D$55:$I$55)&gt;0,5,IF(SUM($D$55:$J$55)&gt;0,6,IF(SUM($D$55:$K$55)&gt;0,7,IF(SUM($D$55:$L$55)&gt;0,8,IF(SUM($D$55:$M$55)&gt;0,9,IF(SUM($D$55:$N$55)&gt;0,10,IF(SUM($D$55:$O$55)&gt;0,11,IF(SUM($D$55:$P$55)&gt;0,12,IF(SUM($D$55:$Q$55)&gt;0,13,IF(SUM($D$55:$R$55)&gt;0,14,IF(SUM($D$55:$S$55)&gt;0,15,"&gt;15")))))))))))))))</f>
        <v>7</v>
      </c>
      <c r="G88" s="121"/>
      <c r="I88" s="88"/>
      <c r="J88" s="88"/>
      <c r="K88" s="88"/>
      <c r="L88" s="88"/>
      <c r="M88" s="88"/>
    </row>
    <row r="89" spans="1:18" s="56" customFormat="1" ht="12.75" customHeight="1">
      <c r="A89" s="54"/>
      <c r="B89" s="55"/>
      <c r="C89" s="94"/>
      <c r="D89" s="94"/>
      <c r="E89" s="94"/>
      <c r="G89" s="95"/>
      <c r="I89" s="88"/>
      <c r="J89" s="88"/>
      <c r="K89" s="88"/>
      <c r="L89" s="88"/>
      <c r="M89" s="88"/>
      <c r="R89" s="101"/>
    </row>
    <row r="90" spans="1:18" s="56" customFormat="1" ht="12.75" customHeight="1">
      <c r="A90" s="54"/>
      <c r="B90" s="55"/>
      <c r="C90" s="119" t="s">
        <v>68</v>
      </c>
      <c r="D90" s="119"/>
      <c r="E90" s="119"/>
      <c r="F90" s="121">
        <f>IF(SUM($D$55:$E$55)&gt;0,E63,IF(SUM($D$55:$F$55)&gt;0,F63,IF(SUM($D$55:$G$55)&gt;0,G63,IF(SUM($D$55:$H$55)&gt;0,H63,IF(SUM($D$55:$I$55)&gt;0,I63,IF(SUM($D$55:$J$55)&gt;0,J63,IF(SUM($D$55:$K$55)&gt;0,K63,IF(SUM($D$55:$L$55)&gt;0,L63,IF(SUM($D$55:$M$55)&gt;0,M63,IF(SUM($D$55:$N$55)&gt;0,N63,IF(SUM($D$55:$O$55)&gt;0,O63,IF(SUM($D$55:$P$55)&gt;0,P63,IF(SUM($D$55:$Q$55)&gt;0,Q63,IF(SUM($D$55:$R$55)&gt;0,R63,IF(SUM($D$55:$S$55)&gt;0,S63,"&gt;"&amp;S63)))))))))))))))</f>
        <v>2022</v>
      </c>
      <c r="G90" s="121"/>
      <c r="I90" s="88"/>
      <c r="J90" s="88"/>
      <c r="K90" s="88"/>
      <c r="L90" s="88"/>
      <c r="M90" s="88"/>
      <c r="R90" s="75"/>
    </row>
    <row r="91" spans="1:18" s="56" customFormat="1" ht="12.75" customHeight="1">
      <c r="A91" s="54"/>
      <c r="B91" s="55"/>
      <c r="F91" s="8"/>
      <c r="G91" s="8"/>
      <c r="H91" s="88"/>
      <c r="I91" s="88"/>
      <c r="J91" s="88"/>
      <c r="K91" s="88"/>
      <c r="L91" s="88"/>
      <c r="M91" s="88"/>
    </row>
    <row r="92" spans="1:18" s="56" customFormat="1" ht="12.75" customHeight="1">
      <c r="A92" s="54"/>
      <c r="B92" s="55"/>
      <c r="H92" s="88"/>
      <c r="I92" s="88"/>
      <c r="J92" s="88"/>
      <c r="K92" s="88"/>
      <c r="L92" s="88"/>
      <c r="M92" s="88"/>
    </row>
    <row r="93" spans="1:18" s="56" customFormat="1" ht="12.75" customHeight="1">
      <c r="A93" s="54"/>
      <c r="B93" s="55"/>
      <c r="H93" s="88"/>
      <c r="I93" s="88"/>
      <c r="J93" s="88"/>
      <c r="K93" s="88"/>
      <c r="L93" s="88"/>
      <c r="M93" s="88"/>
    </row>
    <row r="94" spans="1:18" s="56" customFormat="1" ht="12.75" customHeight="1">
      <c r="A94" s="54"/>
      <c r="B94" s="55"/>
      <c r="H94" s="88"/>
      <c r="I94" s="88"/>
      <c r="J94" s="88"/>
      <c r="K94" s="88"/>
      <c r="L94" s="88"/>
      <c r="M94" s="88"/>
    </row>
    <row r="95" spans="1:18" s="56" customFormat="1" ht="12.75" customHeight="1">
      <c r="A95" s="54"/>
      <c r="B95" s="55"/>
      <c r="H95" s="88"/>
      <c r="I95" s="88"/>
      <c r="J95" s="88"/>
      <c r="K95" s="88"/>
      <c r="L95" s="88"/>
      <c r="M95" s="88"/>
    </row>
    <row r="96" spans="1:18" s="56" customFormat="1" ht="12.75" customHeight="1">
      <c r="A96" s="54"/>
      <c r="B96" s="55"/>
      <c r="H96" s="88"/>
      <c r="I96" s="88"/>
      <c r="J96" s="88"/>
      <c r="K96" s="88"/>
      <c r="L96" s="88"/>
      <c r="M96" s="88"/>
    </row>
    <row r="97" spans="1:13" s="56" customFormat="1" ht="12.75" customHeight="1">
      <c r="A97" s="54"/>
      <c r="B97" s="55"/>
      <c r="H97" s="88"/>
      <c r="I97" s="88"/>
      <c r="J97" s="88"/>
      <c r="K97" s="88"/>
      <c r="L97" s="88"/>
      <c r="M97" s="88"/>
    </row>
    <row r="98" spans="1:13" s="56" customFormat="1" ht="12.75" customHeight="1">
      <c r="A98" s="54"/>
      <c r="B98" s="55"/>
      <c r="H98" s="88"/>
      <c r="I98" s="88"/>
      <c r="J98" s="88"/>
      <c r="K98" s="88"/>
      <c r="L98" s="88"/>
      <c r="M98" s="88"/>
    </row>
    <row r="99" spans="1:13" s="56" customFormat="1" ht="12.75" customHeight="1">
      <c r="A99" s="54"/>
      <c r="B99" s="55"/>
      <c r="H99" s="88"/>
      <c r="I99" s="88"/>
      <c r="J99" s="88"/>
      <c r="K99" s="88"/>
      <c r="L99" s="88"/>
      <c r="M99" s="88"/>
    </row>
    <row r="100" spans="1:13" s="56" customFormat="1" ht="12.75" customHeight="1">
      <c r="A100" s="54"/>
      <c r="B100" s="55"/>
      <c r="H100" s="88"/>
      <c r="I100" s="88"/>
      <c r="J100" s="88"/>
      <c r="K100" s="88"/>
      <c r="L100" s="88"/>
      <c r="M100" s="88"/>
    </row>
    <row r="101" spans="1:13" s="56" customFormat="1" ht="12.75" customHeight="1">
      <c r="A101" s="54"/>
      <c r="B101" s="55"/>
      <c r="H101" s="88"/>
      <c r="I101" s="88"/>
      <c r="J101" s="88"/>
      <c r="K101" s="88"/>
      <c r="L101" s="88"/>
      <c r="M101" s="88"/>
    </row>
    <row r="102" spans="1:13" s="56" customFormat="1" ht="12.75" customHeight="1">
      <c r="A102" s="54"/>
      <c r="B102" s="55"/>
      <c r="H102" s="88"/>
      <c r="I102" s="88"/>
      <c r="J102" s="88"/>
      <c r="K102" s="88"/>
      <c r="L102" s="88"/>
      <c r="M102" s="88"/>
    </row>
    <row r="103" spans="1:13" s="56" customFormat="1" ht="12.75" customHeight="1">
      <c r="A103" s="54"/>
      <c r="B103" s="55"/>
      <c r="H103" s="88"/>
      <c r="I103" s="88"/>
      <c r="J103" s="88"/>
      <c r="K103" s="88"/>
      <c r="L103" s="88"/>
      <c r="M103" s="88"/>
    </row>
    <row r="104" spans="1:13" s="56" customFormat="1" ht="12.75" customHeight="1">
      <c r="A104" s="54"/>
      <c r="B104" s="55"/>
      <c r="H104" s="88"/>
      <c r="I104" s="88"/>
      <c r="J104" s="88"/>
      <c r="K104" s="88"/>
      <c r="L104" s="88"/>
      <c r="M104" s="88"/>
    </row>
    <row r="105" spans="1:13" s="101" customFormat="1" ht="12.75" customHeight="1">
      <c r="A105" s="102"/>
      <c r="B105" s="103"/>
    </row>
    <row r="106" spans="1:13" s="101" customFormat="1" ht="12.75" customHeight="1">
      <c r="A106" s="102"/>
      <c r="B106" s="103"/>
    </row>
    <row r="107" spans="1:13" s="101" customFormat="1" ht="12.75" customHeight="1">
      <c r="A107" s="102"/>
      <c r="B107" s="103"/>
    </row>
    <row r="108" spans="1:13" s="101" customFormat="1" ht="12.75" customHeight="1">
      <c r="A108" s="102"/>
      <c r="B108" s="103"/>
      <c r="F108" s="6"/>
      <c r="G108" s="7"/>
    </row>
    <row r="109" spans="1:13" s="101" customFormat="1" ht="12.75" customHeight="1">
      <c r="A109" s="102"/>
      <c r="B109" s="103"/>
      <c r="F109" s="43"/>
      <c r="G109" s="43"/>
    </row>
    <row r="110" spans="1:13" s="101" customFormat="1" ht="12.75" customHeight="1">
      <c r="A110" s="102"/>
      <c r="B110" s="103"/>
      <c r="F110" s="43"/>
      <c r="G110" s="43"/>
    </row>
    <row r="111" spans="1:13" s="101" customFormat="1" ht="12.75" customHeight="1">
      <c r="A111" s="102"/>
      <c r="B111" s="103"/>
      <c r="F111" s="43"/>
      <c r="G111" s="43"/>
    </row>
    <row r="112" spans="1:13" s="101" customFormat="1" ht="12.75" customHeight="1">
      <c r="A112" s="102"/>
      <c r="B112" s="103"/>
      <c r="F112" s="1"/>
      <c r="G112" s="1"/>
    </row>
    <row r="113" spans="1:13" s="101" customFormat="1" ht="12.75" customHeight="1">
      <c r="A113" s="102"/>
      <c r="B113" s="103"/>
      <c r="F113" s="1"/>
      <c r="G113" s="1"/>
    </row>
    <row r="114" spans="1:13" s="101" customFormat="1" ht="12.75" customHeight="1">
      <c r="A114" s="102"/>
      <c r="B114" s="103"/>
      <c r="F114" s="1"/>
      <c r="G114" s="1"/>
    </row>
    <row r="115" spans="1:13" s="53" customFormat="1" ht="12.75" customHeight="1">
      <c r="A115" s="51"/>
      <c r="B115" s="52"/>
      <c r="C115" s="104"/>
      <c r="D115" s="104"/>
      <c r="E115" s="104"/>
      <c r="F115" s="1"/>
      <c r="G115" s="1"/>
      <c r="H115" s="101"/>
      <c r="I115" s="105"/>
      <c r="J115" s="105"/>
      <c r="K115" s="105"/>
      <c r="L115" s="105"/>
      <c r="M115" s="105"/>
    </row>
    <row r="116" spans="1:13" ht="12.75" customHeight="1">
      <c r="H116" s="105"/>
      <c r="I116" s="108"/>
      <c r="J116" s="101"/>
      <c r="K116" s="101"/>
      <c r="L116" s="109"/>
      <c r="M116" s="105"/>
    </row>
    <row r="117" spans="1:13" ht="12.75" customHeight="1">
      <c r="H117" s="105"/>
      <c r="I117" s="108"/>
      <c r="J117" s="101"/>
      <c r="K117" s="101"/>
      <c r="L117" s="109"/>
      <c r="M117" s="105"/>
    </row>
    <row r="118" spans="1:13" ht="12.75" customHeight="1">
      <c r="H118" s="105"/>
      <c r="I118" s="108"/>
      <c r="J118" s="101"/>
      <c r="K118" s="101"/>
      <c r="L118" s="109"/>
      <c r="M118" s="105"/>
    </row>
    <row r="119" spans="1:13" ht="12.75" customHeight="1">
      <c r="H119" s="105"/>
      <c r="I119" s="108"/>
      <c r="J119" s="101"/>
      <c r="K119" s="101"/>
      <c r="L119" s="109"/>
      <c r="M119" s="105"/>
    </row>
    <row r="120" spans="1:13" ht="12.75" customHeight="1">
      <c r="H120" s="105"/>
      <c r="I120" s="108"/>
      <c r="J120" s="101"/>
      <c r="K120" s="101"/>
      <c r="L120" s="109"/>
      <c r="M120" s="105"/>
    </row>
    <row r="121" spans="1:13" ht="12.75" customHeight="1">
      <c r="H121" s="105"/>
      <c r="I121" s="108"/>
      <c r="J121" s="101"/>
      <c r="K121" s="101"/>
      <c r="L121" s="109"/>
      <c r="M121" s="105"/>
    </row>
    <row r="122" spans="1:13" ht="12.75" customHeight="1">
      <c r="H122" s="105"/>
      <c r="I122" s="108"/>
      <c r="J122" s="101"/>
      <c r="K122" s="101"/>
      <c r="L122" s="109"/>
      <c r="M122" s="105"/>
    </row>
    <row r="123" spans="1:13" ht="12.75" customHeight="1">
      <c r="H123" s="105"/>
      <c r="I123" s="108"/>
      <c r="J123" s="101"/>
      <c r="K123" s="101"/>
      <c r="L123" s="109"/>
      <c r="M123" s="105"/>
    </row>
    <row r="124" spans="1:13" ht="12.75" customHeight="1">
      <c r="H124" s="105"/>
      <c r="I124" s="108"/>
      <c r="J124" s="101"/>
      <c r="K124" s="101"/>
      <c r="L124" s="109"/>
      <c r="M124" s="105"/>
    </row>
    <row r="125" spans="1:13" ht="12.75" customHeight="1">
      <c r="H125" s="105"/>
      <c r="I125" s="108"/>
      <c r="J125" s="101"/>
      <c r="K125" s="101"/>
      <c r="L125" s="109"/>
      <c r="M125" s="105"/>
    </row>
    <row r="126" spans="1:13" ht="12.75" customHeight="1">
      <c r="H126" s="105"/>
      <c r="I126" s="108"/>
      <c r="J126" s="101"/>
      <c r="K126" s="101"/>
      <c r="L126" s="109"/>
      <c r="M126" s="105"/>
    </row>
    <row r="127" spans="1:13" ht="12.75" customHeight="1">
      <c r="H127" s="105"/>
      <c r="I127" s="108"/>
      <c r="J127" s="101"/>
      <c r="K127" s="101"/>
      <c r="L127" s="109"/>
      <c r="M127" s="105"/>
    </row>
    <row r="128" spans="1:13" ht="12.75" customHeight="1">
      <c r="H128" s="105"/>
      <c r="I128" s="108"/>
      <c r="J128" s="101"/>
      <c r="K128" s="101"/>
      <c r="L128" s="109"/>
      <c r="M128" s="105"/>
    </row>
    <row r="129" spans="1:13" ht="12.75" customHeight="1">
      <c r="H129" s="105"/>
      <c r="I129" s="108"/>
      <c r="J129" s="101"/>
      <c r="K129" s="101"/>
      <c r="L129" s="109"/>
      <c r="M129" s="105"/>
    </row>
    <row r="130" spans="1:13" ht="12.75" customHeight="1">
      <c r="H130" s="105"/>
      <c r="I130" s="108"/>
      <c r="J130" s="101"/>
      <c r="K130" s="101"/>
      <c r="L130" s="109"/>
      <c r="M130" s="105"/>
    </row>
    <row r="131" spans="1:13" ht="12.75" customHeight="1">
      <c r="H131" s="105"/>
      <c r="I131" s="108"/>
      <c r="J131" s="101"/>
      <c r="K131" s="101"/>
      <c r="L131" s="109"/>
      <c r="M131" s="105"/>
    </row>
    <row r="132" spans="1:13" ht="12.75" customHeight="1">
      <c r="H132" s="105"/>
      <c r="I132" s="108"/>
      <c r="J132" s="101"/>
      <c r="K132" s="101"/>
      <c r="L132" s="109"/>
      <c r="M132" s="105"/>
    </row>
    <row r="133" spans="1:13" ht="12.75" customHeight="1">
      <c r="H133" s="105"/>
      <c r="I133" s="108"/>
      <c r="J133" s="101"/>
      <c r="K133" s="101"/>
      <c r="L133" s="109"/>
      <c r="M133" s="105"/>
    </row>
    <row r="134" spans="1:13" ht="12.75" customHeight="1">
      <c r="H134" s="105"/>
      <c r="I134" s="108"/>
      <c r="J134" s="101"/>
      <c r="K134" s="101"/>
      <c r="L134" s="109"/>
      <c r="M134" s="105"/>
    </row>
    <row r="135" spans="1:13" ht="12.75" customHeight="1">
      <c r="H135" s="105"/>
      <c r="I135" s="108"/>
      <c r="J135" s="101"/>
      <c r="K135" s="101"/>
      <c r="L135" s="109"/>
      <c r="M135" s="105"/>
    </row>
    <row r="136" spans="1:13" ht="12.75" customHeight="1">
      <c r="H136" s="105"/>
      <c r="I136" s="108"/>
      <c r="J136" s="101"/>
      <c r="K136" s="101"/>
      <c r="L136" s="109"/>
      <c r="M136" s="105"/>
    </row>
    <row r="137" spans="1:13" ht="12.75" customHeight="1">
      <c r="H137" s="105"/>
      <c r="I137" s="108"/>
      <c r="J137" s="101"/>
      <c r="K137" s="101"/>
      <c r="L137" s="109"/>
      <c r="M137" s="105"/>
    </row>
    <row r="138" spans="1:13" ht="12.75" customHeight="1">
      <c r="H138" s="105"/>
      <c r="I138" s="108"/>
      <c r="J138" s="101"/>
      <c r="K138" s="101"/>
      <c r="L138" s="109"/>
      <c r="M138" s="105"/>
    </row>
    <row r="139" spans="1:13" ht="12.75" customHeight="1">
      <c r="H139" s="105"/>
      <c r="I139" s="108"/>
      <c r="J139" s="101"/>
      <c r="K139" s="101"/>
      <c r="L139" s="109"/>
      <c r="M139" s="105"/>
    </row>
    <row r="140" spans="1:13" ht="12.75" customHeight="1">
      <c r="H140" s="105"/>
      <c r="I140" s="108"/>
      <c r="J140" s="101"/>
      <c r="K140" s="101"/>
      <c r="L140" s="109"/>
      <c r="M140" s="105"/>
    </row>
    <row r="141" spans="1:13" ht="12.75" customHeight="1">
      <c r="H141" s="105"/>
      <c r="I141" s="108"/>
      <c r="J141" s="101"/>
      <c r="K141" s="101"/>
      <c r="L141" s="109"/>
      <c r="M141" s="105"/>
    </row>
    <row r="142" spans="1:13" ht="12.75" customHeight="1">
      <c r="H142" s="105"/>
      <c r="I142" s="108"/>
      <c r="J142" s="101"/>
      <c r="K142" s="101"/>
      <c r="L142" s="109"/>
      <c r="M142" s="105"/>
    </row>
    <row r="143" spans="1:13" ht="12.75" customHeight="1">
      <c r="H143" s="105"/>
      <c r="I143" s="108"/>
      <c r="J143" s="101"/>
      <c r="K143" s="101"/>
      <c r="L143" s="109"/>
      <c r="M143" s="105"/>
    </row>
    <row r="144" spans="1:13" s="101" customFormat="1" ht="12.75" customHeight="1">
      <c r="A144" s="102"/>
      <c r="B144" s="103"/>
      <c r="C144" s="10" t="s">
        <v>81</v>
      </c>
      <c r="D144" s="10"/>
      <c r="E144" s="10"/>
      <c r="F144" s="11"/>
      <c r="G144" s="11"/>
      <c r="H144" s="17"/>
      <c r="I144" s="105"/>
      <c r="J144" s="105"/>
      <c r="K144" s="105"/>
      <c r="L144" s="105"/>
    </row>
    <row r="145" spans="1:12" s="101" customFormat="1" ht="12.75" customHeight="1">
      <c r="A145" s="102"/>
      <c r="B145" s="103"/>
      <c r="C145" s="26" t="s">
        <v>37</v>
      </c>
      <c r="D145" s="18"/>
      <c r="E145" s="4"/>
      <c r="F145" s="3"/>
      <c r="G145" s="3"/>
      <c r="H145" s="3"/>
      <c r="I145" s="105"/>
      <c r="J145" s="105"/>
      <c r="K145" s="105"/>
      <c r="L145" s="105"/>
    </row>
    <row r="146" spans="1:12" s="101" customFormat="1" ht="12.75" customHeight="1">
      <c r="A146" s="102"/>
      <c r="B146" s="103"/>
      <c r="C146" s="19" t="s">
        <v>38</v>
      </c>
      <c r="D146" s="19"/>
      <c r="E146" s="19"/>
      <c r="F146" s="3"/>
      <c r="G146" s="3"/>
      <c r="H146" s="3"/>
      <c r="I146" s="105"/>
      <c r="J146" s="105"/>
      <c r="K146" s="105"/>
      <c r="L146" s="105"/>
    </row>
    <row r="147" spans="1:12" s="101" customFormat="1" ht="12.75" customHeight="1">
      <c r="A147" s="102"/>
      <c r="B147" s="103"/>
      <c r="C147" s="5">
        <f ca="1">NOW()</f>
        <v>42773.64651608796</v>
      </c>
      <c r="D147" s="5"/>
      <c r="E147" s="5"/>
      <c r="F147" s="3"/>
      <c r="G147" s="3"/>
      <c r="H147" s="3"/>
      <c r="I147" s="105"/>
      <c r="J147" s="105"/>
      <c r="K147" s="105"/>
      <c r="L147" s="105"/>
    </row>
    <row r="148" spans="1:12" s="101" customFormat="1" ht="12.75" customHeight="1">
      <c r="A148" s="102"/>
      <c r="B148" s="103"/>
      <c r="C148" s="5"/>
      <c r="D148" s="5"/>
      <c r="E148" s="5"/>
      <c r="F148" s="3"/>
      <c r="G148" s="3"/>
      <c r="H148" s="3"/>
      <c r="I148" s="105"/>
      <c r="J148" s="105"/>
      <c r="K148" s="105"/>
      <c r="L148" s="105"/>
    </row>
    <row r="149" spans="1:12" s="101" customFormat="1" ht="12.75" customHeight="1">
      <c r="A149" s="102"/>
      <c r="B149" s="103"/>
      <c r="C149" s="6" t="s">
        <v>39</v>
      </c>
      <c r="D149" s="6"/>
      <c r="E149" s="6"/>
      <c r="F149" s="7"/>
      <c r="G149" s="7"/>
      <c r="H149" s="7"/>
      <c r="I149" s="105"/>
      <c r="J149" s="105"/>
      <c r="K149" s="105"/>
      <c r="L149" s="105"/>
    </row>
    <row r="150" spans="1:12" s="101" customFormat="1" ht="12.75" customHeight="1">
      <c r="A150" s="102"/>
      <c r="B150" s="103"/>
      <c r="C150" s="114" t="s">
        <v>80</v>
      </c>
      <c r="D150" s="114"/>
      <c r="E150" s="114"/>
      <c r="F150" s="114"/>
      <c r="G150" s="114"/>
      <c r="H150" s="114"/>
      <c r="I150" s="114"/>
      <c r="J150" s="114"/>
      <c r="K150" s="114"/>
      <c r="L150" s="114"/>
    </row>
    <row r="151" spans="1:12" s="101" customFormat="1" ht="12.75" customHeight="1">
      <c r="A151" s="102"/>
      <c r="B151" s="103"/>
      <c r="C151" s="114"/>
      <c r="D151" s="114"/>
      <c r="E151" s="114"/>
      <c r="F151" s="114"/>
      <c r="G151" s="114"/>
      <c r="H151" s="114"/>
      <c r="I151" s="114"/>
      <c r="J151" s="114"/>
      <c r="K151" s="114"/>
      <c r="L151" s="114"/>
    </row>
    <row r="152" spans="1:12" s="101" customFormat="1" ht="18" customHeight="1">
      <c r="A152" s="102"/>
      <c r="B152" s="103"/>
      <c r="C152" s="114"/>
      <c r="D152" s="114"/>
      <c r="E152" s="114"/>
      <c r="F152" s="114"/>
      <c r="G152" s="114"/>
      <c r="H152" s="114"/>
      <c r="I152" s="114"/>
      <c r="J152" s="114"/>
      <c r="K152" s="114"/>
      <c r="L152" s="114"/>
    </row>
  </sheetData>
  <sheetProtection sheet="1" objects="1" scenarios="1"/>
  <mergeCells count="14">
    <mergeCell ref="C3:H3"/>
    <mergeCell ref="C150:L151"/>
    <mergeCell ref="C152:L152"/>
    <mergeCell ref="C6:F6"/>
    <mergeCell ref="C5:F5"/>
    <mergeCell ref="C84:E84"/>
    <mergeCell ref="I84:M84"/>
    <mergeCell ref="I86:M86"/>
    <mergeCell ref="C86:E86"/>
    <mergeCell ref="C88:E88"/>
    <mergeCell ref="C90:E90"/>
    <mergeCell ref="F86:G86"/>
    <mergeCell ref="F88:G88"/>
    <mergeCell ref="F90:G90"/>
  </mergeCells>
  <conditionalFormatting sqref="E20:E34 E36:E38">
    <cfRule type="expression" dxfId="29" priority="15">
      <formula>$E$18="No"</formula>
    </cfRule>
  </conditionalFormatting>
  <conditionalFormatting sqref="F20:F38">
    <cfRule type="expression" dxfId="28" priority="14">
      <formula>$F$18="No"</formula>
    </cfRule>
  </conditionalFormatting>
  <conditionalFormatting sqref="G20:G38">
    <cfRule type="expression" dxfId="27" priority="13">
      <formula>$G$18="No"</formula>
    </cfRule>
  </conditionalFormatting>
  <conditionalFormatting sqref="H20:H38">
    <cfRule type="expression" dxfId="26" priority="12">
      <formula>$H$18="No"</formula>
    </cfRule>
  </conditionalFormatting>
  <conditionalFormatting sqref="I20:I38">
    <cfRule type="expression" dxfId="25" priority="11">
      <formula>$I$18="No"</formula>
    </cfRule>
  </conditionalFormatting>
  <conditionalFormatting sqref="J20:J38">
    <cfRule type="expression" dxfId="24" priority="10">
      <formula>$J$18="No"</formula>
    </cfRule>
  </conditionalFormatting>
  <conditionalFormatting sqref="K20:K38">
    <cfRule type="expression" dxfId="23" priority="9">
      <formula>$K$18="No"</formula>
    </cfRule>
  </conditionalFormatting>
  <conditionalFormatting sqref="L20:L38">
    <cfRule type="expression" dxfId="22" priority="8">
      <formula>$L$18="No"</formula>
    </cfRule>
  </conditionalFormatting>
  <conditionalFormatting sqref="M20:M38">
    <cfRule type="expression" dxfId="21" priority="7">
      <formula>$M$18="No"</formula>
    </cfRule>
  </conditionalFormatting>
  <conditionalFormatting sqref="N20:N38">
    <cfRule type="expression" dxfId="20" priority="6">
      <formula>$N$18="No"</formula>
    </cfRule>
  </conditionalFormatting>
  <conditionalFormatting sqref="O20:O38">
    <cfRule type="expression" dxfId="19" priority="5">
      <formula>$O$18="No"</formula>
    </cfRule>
  </conditionalFormatting>
  <conditionalFormatting sqref="P20:P38">
    <cfRule type="expression" dxfId="18" priority="4">
      <formula>$P$18="No"</formula>
    </cfRule>
  </conditionalFormatting>
  <conditionalFormatting sqref="Q20:Q38">
    <cfRule type="expression" dxfId="17" priority="3">
      <formula>$Q$18="No"</formula>
    </cfRule>
  </conditionalFormatting>
  <conditionalFormatting sqref="R20:R38">
    <cfRule type="expression" dxfId="16" priority="2">
      <formula>$R$18="No"</formula>
    </cfRule>
  </conditionalFormatting>
  <conditionalFormatting sqref="S20:S38">
    <cfRule type="expression" dxfId="15" priority="1">
      <formula>$S$18="No"</formula>
    </cfRule>
  </conditionalFormatting>
  <hyperlinks>
    <hyperlink ref="C145" r:id="rId1"/>
    <hyperlink ref="C3" r:id="rId2"/>
  </hyperlinks>
  <pageMargins left="0.7" right="0.7" top="0.75" bottom="0.75" header="0.3" footer="0.3"/>
  <pageSetup scale="50" fitToHeight="2" orientation="landscape" r:id="rId3"/>
  <headerFooter>
    <oddHeader>&amp;LIowa State University Extension and Outreach &amp;RAg Decision Maker File B1-74</oddHeader>
    <oddFooter>&amp;Lhttp://www.extension.iastate.edu/agdm/livestock/xls/b1-74netpresentvalueofbeefreplacementfemalesgroup.xlsx</oddFooter>
  </headerFooter>
  <rowBreaks count="1" manualBreakCount="1">
    <brk id="79" min="2" max="18" man="1"/>
  </rowBreaks>
  <ignoredErrors>
    <ignoredError sqref="O61 O73 P73:S73" evalError="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C152"/>
  <sheetViews>
    <sheetView showGridLines="0" zoomScaleNormal="100" workbookViewId="0"/>
  </sheetViews>
  <sheetFormatPr defaultColWidth="9.109375" defaultRowHeight="13.8"/>
  <cols>
    <col min="1" max="1" width="1.6640625" style="106" customWidth="1"/>
    <col min="2" max="2" width="1.6640625" style="107" customWidth="1"/>
    <col min="3" max="3" width="25.6640625" style="104" customWidth="1"/>
    <col min="4" max="4" width="10.5546875" style="104" bestFit="1" customWidth="1"/>
    <col min="5" max="15" width="9.6640625" style="104" customWidth="1"/>
    <col min="16" max="16" width="9.109375" style="104"/>
    <col min="17" max="17" width="9.6640625" style="104" bestFit="1" customWidth="1"/>
    <col min="18" max="16384" width="9.109375" style="104"/>
  </cols>
  <sheetData>
    <row r="1" spans="1:24" s="44" customFormat="1" ht="18" thickBot="1">
      <c r="C1" s="44" t="s">
        <v>79</v>
      </c>
    </row>
    <row r="2" spans="1:24" s="49" customFormat="1" ht="14.4" thickTop="1">
      <c r="A2" s="45"/>
      <c r="B2" s="46"/>
      <c r="C2" s="47" t="s">
        <v>0</v>
      </c>
      <c r="D2" s="47"/>
      <c r="E2" s="47"/>
      <c r="F2" s="48"/>
    </row>
    <row r="3" spans="1:24" s="49" customFormat="1" ht="13.2">
      <c r="A3" s="45"/>
      <c r="B3" s="46"/>
      <c r="C3" s="113" t="s">
        <v>49</v>
      </c>
      <c r="D3" s="113"/>
      <c r="E3" s="113"/>
      <c r="F3" s="113"/>
      <c r="G3" s="113"/>
      <c r="H3" s="113"/>
    </row>
    <row r="4" spans="1:24" s="49" customFormat="1" ht="12.75" customHeight="1">
      <c r="A4" s="45"/>
      <c r="B4" s="46"/>
      <c r="C4" s="50"/>
      <c r="D4" s="50"/>
    </row>
    <row r="5" spans="1:24" s="53" customFormat="1" ht="12.75" customHeight="1">
      <c r="A5" s="51"/>
      <c r="B5" s="52"/>
      <c r="C5" s="118" t="s">
        <v>1</v>
      </c>
      <c r="D5" s="118"/>
      <c r="E5" s="118"/>
      <c r="F5" s="118"/>
      <c r="G5" s="9"/>
    </row>
    <row r="6" spans="1:24" s="53" customFormat="1" ht="12.75" customHeight="1">
      <c r="A6" s="51"/>
      <c r="B6" s="52"/>
      <c r="C6" s="115" t="s">
        <v>47</v>
      </c>
      <c r="D6" s="116"/>
      <c r="E6" s="116"/>
      <c r="F6" s="117"/>
      <c r="G6" s="2"/>
    </row>
    <row r="7" spans="1:24" s="53" customFormat="1" ht="12.75" customHeight="1">
      <c r="A7" s="51"/>
      <c r="B7" s="52"/>
      <c r="C7" s="39" t="s">
        <v>76</v>
      </c>
      <c r="D7" s="40"/>
      <c r="E7" s="40"/>
      <c r="F7" s="41"/>
      <c r="G7" s="2"/>
    </row>
    <row r="8" spans="1:24" s="56" customFormat="1" ht="12.75" customHeight="1">
      <c r="A8" s="54"/>
      <c r="B8" s="55"/>
      <c r="C8" s="8"/>
      <c r="D8" s="8"/>
      <c r="E8" s="8"/>
      <c r="F8" s="8"/>
      <c r="G8" s="8"/>
    </row>
    <row r="9" spans="1:24" s="56" customFormat="1" ht="12.75" customHeight="1">
      <c r="A9" s="54"/>
      <c r="B9" s="55"/>
      <c r="C9" s="12" t="s">
        <v>16</v>
      </c>
      <c r="D9" s="12"/>
      <c r="E9" s="8"/>
      <c r="F9" s="8"/>
      <c r="G9" s="8"/>
    </row>
    <row r="10" spans="1:24" s="56" customFormat="1" ht="12.75" customHeight="1">
      <c r="A10" s="54"/>
      <c r="B10" s="55"/>
      <c r="C10" s="30" t="s">
        <v>57</v>
      </c>
      <c r="D10" s="30"/>
      <c r="E10" s="23"/>
      <c r="G10" s="14" t="s">
        <v>2</v>
      </c>
      <c r="H10" s="14"/>
      <c r="I10" s="21"/>
      <c r="K10" s="14" t="s">
        <v>4</v>
      </c>
      <c r="L10" s="14"/>
      <c r="M10" s="14"/>
      <c r="N10" s="30"/>
      <c r="O10" s="22"/>
    </row>
    <row r="11" spans="1:24" s="56" customFormat="1" ht="12.75" customHeight="1">
      <c r="A11" s="54"/>
      <c r="B11" s="55"/>
      <c r="C11" s="30" t="s">
        <v>51</v>
      </c>
      <c r="D11" s="30"/>
      <c r="E11" s="38"/>
      <c r="G11" s="14" t="s">
        <v>3</v>
      </c>
      <c r="H11" s="14"/>
      <c r="I11" s="21"/>
      <c r="K11" s="8" t="s">
        <v>21</v>
      </c>
      <c r="L11" s="8"/>
      <c r="M11" s="8"/>
      <c r="N11" s="8"/>
      <c r="O11" s="24"/>
    </row>
    <row r="12" spans="1:24" s="56" customFormat="1" ht="12.75" customHeight="1">
      <c r="A12" s="54"/>
      <c r="B12" s="55"/>
      <c r="C12" s="57" t="s">
        <v>58</v>
      </c>
      <c r="E12" s="58">
        <f>E10*E11</f>
        <v>0</v>
      </c>
    </row>
    <row r="13" spans="1:24" s="56" customFormat="1" ht="12.75" customHeight="1">
      <c r="A13" s="54"/>
      <c r="B13" s="55"/>
      <c r="D13" s="14"/>
      <c r="E13" s="14"/>
      <c r="H13" s="8"/>
      <c r="I13" s="8"/>
      <c r="J13" s="8"/>
      <c r="K13" s="8"/>
      <c r="L13" s="20"/>
    </row>
    <row r="14" spans="1:24" s="56" customFormat="1" ht="12.75" customHeight="1">
      <c r="A14" s="54"/>
      <c r="B14" s="55"/>
      <c r="C14" s="59" t="s">
        <v>17</v>
      </c>
      <c r="D14" s="59"/>
      <c r="I14" s="60"/>
      <c r="J14" s="15"/>
      <c r="K14" s="16"/>
      <c r="L14" s="15"/>
      <c r="M14" s="16"/>
      <c r="N14" s="15"/>
      <c r="O14" s="16"/>
    </row>
    <row r="15" spans="1:24" s="56" customFormat="1" ht="12.75" customHeight="1">
      <c r="A15" s="54"/>
      <c r="B15" s="55"/>
      <c r="C15" s="56" t="s">
        <v>5</v>
      </c>
      <c r="E15" s="60">
        <f>I10</f>
        <v>0</v>
      </c>
      <c r="F15" s="61">
        <f>+E15+1</f>
        <v>1</v>
      </c>
      <c r="G15" s="61">
        <f t="shared" ref="G15:S15" si="0">+F15+1</f>
        <v>2</v>
      </c>
      <c r="H15" s="61">
        <f t="shared" si="0"/>
        <v>3</v>
      </c>
      <c r="I15" s="61">
        <f t="shared" si="0"/>
        <v>4</v>
      </c>
      <c r="J15" s="61">
        <f t="shared" si="0"/>
        <v>5</v>
      </c>
      <c r="K15" s="61">
        <f t="shared" si="0"/>
        <v>6</v>
      </c>
      <c r="L15" s="61">
        <f t="shared" si="0"/>
        <v>7</v>
      </c>
      <c r="M15" s="61">
        <f t="shared" si="0"/>
        <v>8</v>
      </c>
      <c r="N15" s="61">
        <f t="shared" si="0"/>
        <v>9</v>
      </c>
      <c r="O15" s="61">
        <f t="shared" si="0"/>
        <v>10</v>
      </c>
      <c r="P15" s="61">
        <f t="shared" si="0"/>
        <v>11</v>
      </c>
      <c r="Q15" s="61">
        <f t="shared" si="0"/>
        <v>12</v>
      </c>
      <c r="R15" s="61">
        <f t="shared" si="0"/>
        <v>13</v>
      </c>
      <c r="S15" s="61">
        <f t="shared" si="0"/>
        <v>14</v>
      </c>
      <c r="T15" s="62"/>
      <c r="U15" s="62"/>
      <c r="V15" s="62"/>
      <c r="W15" s="62"/>
      <c r="X15" s="62"/>
    </row>
    <row r="16" spans="1:24" s="56" customFormat="1" ht="12.75" customHeight="1">
      <c r="A16" s="54"/>
      <c r="B16" s="55"/>
      <c r="C16" s="57" t="s">
        <v>50</v>
      </c>
      <c r="E16" s="63">
        <f>E11</f>
        <v>0</v>
      </c>
      <c r="F16" s="64">
        <f>E17</f>
        <v>0</v>
      </c>
      <c r="G16" s="64">
        <f t="shared" ref="G16:S16" si="1">F17</f>
        <v>0</v>
      </c>
      <c r="H16" s="64">
        <f t="shared" si="1"/>
        <v>0</v>
      </c>
      <c r="I16" s="64">
        <f t="shared" si="1"/>
        <v>0</v>
      </c>
      <c r="J16" s="64">
        <f t="shared" si="1"/>
        <v>0</v>
      </c>
      <c r="K16" s="64">
        <f t="shared" si="1"/>
        <v>0</v>
      </c>
      <c r="L16" s="64">
        <f t="shared" si="1"/>
        <v>0</v>
      </c>
      <c r="M16" s="64">
        <f t="shared" si="1"/>
        <v>0</v>
      </c>
      <c r="N16" s="64">
        <f t="shared" si="1"/>
        <v>0</v>
      </c>
      <c r="O16" s="64">
        <f t="shared" si="1"/>
        <v>0</v>
      </c>
      <c r="P16" s="64">
        <f t="shared" si="1"/>
        <v>0</v>
      </c>
      <c r="Q16" s="64">
        <f t="shared" si="1"/>
        <v>0</v>
      </c>
      <c r="R16" s="64">
        <f t="shared" si="1"/>
        <v>0</v>
      </c>
      <c r="S16" s="64">
        <f t="shared" si="1"/>
        <v>0</v>
      </c>
    </row>
    <row r="17" spans="1:29" s="56" customFormat="1" ht="12.75" customHeight="1">
      <c r="A17" s="54"/>
      <c r="B17" s="55"/>
      <c r="C17" s="57" t="s">
        <v>56</v>
      </c>
      <c r="E17" s="63">
        <f>E16*(1-E20-E21)</f>
        <v>0</v>
      </c>
      <c r="F17" s="63">
        <f t="shared" ref="F17:N17" si="2">F16*(1-F20-F21)</f>
        <v>0</v>
      </c>
      <c r="G17" s="63">
        <f t="shared" si="2"/>
        <v>0</v>
      </c>
      <c r="H17" s="63">
        <f t="shared" si="2"/>
        <v>0</v>
      </c>
      <c r="I17" s="63">
        <f t="shared" si="2"/>
        <v>0</v>
      </c>
      <c r="J17" s="63">
        <f t="shared" si="2"/>
        <v>0</v>
      </c>
      <c r="K17" s="63">
        <f t="shared" si="2"/>
        <v>0</v>
      </c>
      <c r="L17" s="63">
        <f t="shared" si="2"/>
        <v>0</v>
      </c>
      <c r="M17" s="63">
        <f t="shared" si="2"/>
        <v>0</v>
      </c>
      <c r="N17" s="63">
        <f t="shared" si="2"/>
        <v>0</v>
      </c>
      <c r="O17" s="63">
        <f>O16*(1-O20-O21)</f>
        <v>0</v>
      </c>
      <c r="P17" s="63">
        <f t="shared" ref="P17:S17" si="3">P16*(1-P20-P21)</f>
        <v>0</v>
      </c>
      <c r="Q17" s="63">
        <f t="shared" si="3"/>
        <v>0</v>
      </c>
      <c r="R17" s="63">
        <f t="shared" si="3"/>
        <v>0</v>
      </c>
      <c r="S17" s="63">
        <f t="shared" si="3"/>
        <v>0</v>
      </c>
    </row>
    <row r="18" spans="1:29" s="56" customFormat="1" ht="12.75" customHeight="1">
      <c r="A18" s="54"/>
      <c r="B18" s="55"/>
      <c r="C18" s="57" t="s">
        <v>70</v>
      </c>
      <c r="E18" s="60" t="str">
        <f>IF(AND(E15&gt;=$I$11,E15&lt;=$I$11+$O$10-1),"Yes","No")</f>
        <v>No</v>
      </c>
      <c r="F18" s="60" t="str">
        <f t="shared" ref="F18:S18" si="4">IF(AND(F15&gt;=$I$11,F15&lt;=$I$11+$O$10-1),"Yes","No")</f>
        <v>No</v>
      </c>
      <c r="G18" s="60" t="str">
        <f t="shared" si="4"/>
        <v>No</v>
      </c>
      <c r="H18" s="60" t="str">
        <f t="shared" si="4"/>
        <v>No</v>
      </c>
      <c r="I18" s="60" t="str">
        <f t="shared" si="4"/>
        <v>No</v>
      </c>
      <c r="J18" s="60" t="str">
        <f t="shared" si="4"/>
        <v>No</v>
      </c>
      <c r="K18" s="60" t="str">
        <f t="shared" si="4"/>
        <v>No</v>
      </c>
      <c r="L18" s="60" t="str">
        <f t="shared" si="4"/>
        <v>No</v>
      </c>
      <c r="M18" s="60" t="str">
        <f t="shared" si="4"/>
        <v>No</v>
      </c>
      <c r="N18" s="60" t="str">
        <f t="shared" si="4"/>
        <v>No</v>
      </c>
      <c r="O18" s="60" t="str">
        <f t="shared" si="4"/>
        <v>No</v>
      </c>
      <c r="P18" s="60" t="str">
        <f t="shared" si="4"/>
        <v>No</v>
      </c>
      <c r="Q18" s="60" t="str">
        <f t="shared" si="4"/>
        <v>No</v>
      </c>
      <c r="R18" s="60" t="str">
        <f t="shared" si="4"/>
        <v>No</v>
      </c>
      <c r="S18" s="60" t="str">
        <f t="shared" si="4"/>
        <v>No</v>
      </c>
    </row>
    <row r="19" spans="1:29" s="56" customFormat="1" ht="12.75" customHeight="1">
      <c r="A19" s="54"/>
      <c r="B19" s="55"/>
      <c r="C19" s="65"/>
      <c r="D19" s="65"/>
      <c r="E19" s="13"/>
      <c r="F19" s="13"/>
      <c r="G19" s="13"/>
      <c r="H19" s="13"/>
      <c r="I19" s="13"/>
      <c r="J19" s="13"/>
      <c r="K19" s="13"/>
      <c r="L19" s="13"/>
      <c r="M19" s="13"/>
      <c r="N19" s="13"/>
    </row>
    <row r="20" spans="1:29" s="56" customFormat="1" ht="12.75" customHeight="1">
      <c r="A20" s="54"/>
      <c r="B20" s="55"/>
      <c r="C20" s="28" t="s">
        <v>71</v>
      </c>
      <c r="D20" s="65"/>
      <c r="E20" s="110"/>
      <c r="F20" s="110"/>
      <c r="G20" s="110"/>
      <c r="H20" s="110"/>
      <c r="I20" s="110"/>
      <c r="J20" s="110"/>
      <c r="K20" s="110"/>
      <c r="L20" s="110"/>
      <c r="M20" s="110"/>
      <c r="N20" s="110"/>
      <c r="O20" s="110"/>
      <c r="P20" s="110"/>
      <c r="Q20" s="110"/>
      <c r="R20" s="110"/>
      <c r="S20" s="110"/>
    </row>
    <row r="21" spans="1:29" s="56" customFormat="1" ht="12.75" customHeight="1">
      <c r="A21" s="54"/>
      <c r="B21" s="55"/>
      <c r="C21" s="28" t="s">
        <v>54</v>
      </c>
      <c r="D21" s="65"/>
      <c r="E21" s="110"/>
      <c r="F21" s="110"/>
      <c r="G21" s="110"/>
      <c r="H21" s="110"/>
      <c r="I21" s="110"/>
      <c r="J21" s="110"/>
      <c r="K21" s="110"/>
      <c r="L21" s="110"/>
      <c r="M21" s="110"/>
      <c r="N21" s="110"/>
      <c r="O21" s="110"/>
      <c r="P21" s="110"/>
      <c r="Q21" s="110"/>
      <c r="R21" s="110"/>
      <c r="S21" s="110"/>
      <c r="T21" s="62"/>
      <c r="U21" s="62"/>
      <c r="V21" s="62"/>
      <c r="W21" s="62"/>
      <c r="X21" s="62"/>
    </row>
    <row r="22" spans="1:29" s="56" customFormat="1" ht="12.75" customHeight="1">
      <c r="A22" s="54"/>
      <c r="B22" s="55"/>
      <c r="C22" s="56" t="s">
        <v>12</v>
      </c>
      <c r="E22" s="111"/>
      <c r="F22" s="111"/>
      <c r="G22" s="111"/>
      <c r="H22" s="111"/>
      <c r="I22" s="111"/>
      <c r="J22" s="111"/>
      <c r="K22" s="111"/>
      <c r="L22" s="111"/>
      <c r="M22" s="111"/>
      <c r="N22" s="111"/>
      <c r="O22" s="111"/>
      <c r="P22" s="111"/>
      <c r="Q22" s="111"/>
      <c r="R22" s="111"/>
      <c r="S22" s="111"/>
    </row>
    <row r="23" spans="1:29" s="56" customFormat="1" ht="12.75" customHeight="1">
      <c r="A23" s="54"/>
      <c r="B23" s="55"/>
      <c r="C23" s="66"/>
      <c r="D23" s="66"/>
      <c r="E23" s="31"/>
      <c r="F23" s="31"/>
      <c r="G23" s="31"/>
      <c r="H23" s="67"/>
      <c r="I23" s="67"/>
      <c r="J23" s="67"/>
      <c r="K23" s="67"/>
      <c r="L23" s="67"/>
      <c r="M23" s="67"/>
      <c r="N23" s="67"/>
      <c r="O23" s="67"/>
      <c r="P23" s="67"/>
      <c r="Q23" s="67"/>
      <c r="R23" s="67"/>
      <c r="S23" s="67"/>
    </row>
    <row r="24" spans="1:29" s="56" customFormat="1" ht="12.75" customHeight="1">
      <c r="A24" s="54"/>
      <c r="B24" s="55"/>
      <c r="C24" s="66" t="s">
        <v>6</v>
      </c>
      <c r="D24" s="66"/>
      <c r="E24" s="32"/>
      <c r="F24" s="32"/>
      <c r="G24" s="32"/>
      <c r="H24" s="32"/>
      <c r="I24" s="32"/>
      <c r="J24" s="32"/>
      <c r="K24" s="32"/>
      <c r="L24" s="32"/>
      <c r="M24" s="32"/>
      <c r="N24" s="32"/>
      <c r="O24" s="32"/>
      <c r="P24" s="32"/>
      <c r="Q24" s="32"/>
      <c r="R24" s="32"/>
      <c r="S24" s="32"/>
      <c r="T24" s="68"/>
      <c r="U24" s="68"/>
      <c r="V24" s="68"/>
      <c r="W24" s="68"/>
      <c r="X24" s="68"/>
      <c r="Y24" s="68"/>
      <c r="Z24" s="68"/>
      <c r="AA24" s="68"/>
      <c r="AB24" s="68"/>
      <c r="AC24" s="68"/>
    </row>
    <row r="25" spans="1:29" s="56" customFormat="1" ht="12.75" customHeight="1">
      <c r="A25" s="54"/>
      <c r="B25" s="55"/>
      <c r="C25" s="66" t="s">
        <v>7</v>
      </c>
      <c r="D25" s="66"/>
      <c r="E25" s="42"/>
      <c r="F25" s="42"/>
      <c r="G25" s="42"/>
      <c r="H25" s="42"/>
      <c r="I25" s="42"/>
      <c r="J25" s="42"/>
      <c r="K25" s="42"/>
      <c r="L25" s="42"/>
      <c r="M25" s="42"/>
      <c r="N25" s="42"/>
      <c r="O25" s="42"/>
      <c r="P25" s="42"/>
      <c r="Q25" s="42"/>
      <c r="R25" s="42"/>
      <c r="S25" s="42"/>
      <c r="AB25" s="68"/>
    </row>
    <row r="26" spans="1:29" s="56" customFormat="1" ht="12.75" customHeight="1">
      <c r="A26" s="54"/>
      <c r="B26" s="55"/>
      <c r="C26" s="66"/>
      <c r="D26" s="66"/>
      <c r="E26" s="31"/>
      <c r="F26" s="31"/>
      <c r="G26" s="31"/>
      <c r="H26" s="69"/>
      <c r="I26" s="69"/>
      <c r="J26" s="69"/>
      <c r="K26" s="69"/>
      <c r="L26" s="69"/>
      <c r="M26" s="69"/>
      <c r="N26" s="69"/>
      <c r="O26" s="67"/>
      <c r="P26" s="67"/>
      <c r="Q26" s="67"/>
      <c r="R26" s="67"/>
      <c r="S26" s="67"/>
      <c r="AB26" s="68"/>
    </row>
    <row r="27" spans="1:29" s="56" customFormat="1" ht="12.75" customHeight="1">
      <c r="A27" s="54"/>
      <c r="B27" s="55"/>
      <c r="C27" s="66" t="s">
        <v>8</v>
      </c>
      <c r="D27" s="66"/>
      <c r="E27" s="33"/>
      <c r="F27" s="33"/>
      <c r="G27" s="33"/>
      <c r="H27" s="33"/>
      <c r="I27" s="33"/>
      <c r="J27" s="33"/>
      <c r="K27" s="33"/>
      <c r="L27" s="33"/>
      <c r="M27" s="33"/>
      <c r="N27" s="33"/>
      <c r="O27" s="33"/>
      <c r="P27" s="33"/>
      <c r="Q27" s="33"/>
      <c r="R27" s="33"/>
      <c r="S27" s="33"/>
      <c r="AB27" s="68"/>
    </row>
    <row r="28" spans="1:29" s="56" customFormat="1" ht="12.75" customHeight="1">
      <c r="A28" s="54"/>
      <c r="B28" s="55"/>
      <c r="C28" s="66" t="s">
        <v>9</v>
      </c>
      <c r="D28" s="66"/>
      <c r="E28" s="42"/>
      <c r="F28" s="42"/>
      <c r="G28" s="42"/>
      <c r="H28" s="42"/>
      <c r="I28" s="42"/>
      <c r="J28" s="42"/>
      <c r="K28" s="42"/>
      <c r="L28" s="42"/>
      <c r="M28" s="42"/>
      <c r="N28" s="42"/>
      <c r="O28" s="42"/>
      <c r="P28" s="42"/>
      <c r="Q28" s="42"/>
      <c r="R28" s="42"/>
      <c r="S28" s="42"/>
      <c r="AB28" s="68"/>
    </row>
    <row r="29" spans="1:29" s="56" customFormat="1" ht="12.75" customHeight="1">
      <c r="A29" s="54"/>
      <c r="B29" s="55"/>
      <c r="C29" s="66"/>
      <c r="D29" s="66"/>
      <c r="E29" s="31"/>
      <c r="F29" s="31"/>
      <c r="G29" s="31"/>
      <c r="H29" s="67"/>
      <c r="I29" s="67"/>
      <c r="J29" s="67"/>
      <c r="K29" s="67"/>
      <c r="L29" s="67"/>
      <c r="M29" s="67"/>
      <c r="N29" s="67"/>
      <c r="O29" s="67"/>
      <c r="P29" s="67"/>
      <c r="Q29" s="67"/>
      <c r="R29" s="67"/>
      <c r="S29" s="67"/>
      <c r="AB29" s="68"/>
    </row>
    <row r="30" spans="1:29" s="56" customFormat="1" ht="12.75" customHeight="1">
      <c r="A30" s="54"/>
      <c r="B30" s="55"/>
      <c r="C30" s="66" t="s">
        <v>10</v>
      </c>
      <c r="D30" s="66"/>
      <c r="E30" s="33"/>
      <c r="F30" s="33"/>
      <c r="G30" s="33"/>
      <c r="H30" s="33"/>
      <c r="I30" s="33"/>
      <c r="J30" s="33"/>
      <c r="K30" s="33"/>
      <c r="L30" s="33"/>
      <c r="M30" s="33"/>
      <c r="N30" s="33"/>
      <c r="O30" s="33"/>
      <c r="P30" s="33"/>
      <c r="Q30" s="33"/>
      <c r="R30" s="33"/>
      <c r="S30" s="33"/>
      <c r="AB30" s="68"/>
    </row>
    <row r="31" spans="1:29" s="56" customFormat="1" ht="12.75" customHeight="1">
      <c r="A31" s="54"/>
      <c r="B31" s="55"/>
      <c r="C31" s="66" t="s">
        <v>11</v>
      </c>
      <c r="D31" s="66"/>
      <c r="E31" s="42"/>
      <c r="F31" s="42"/>
      <c r="G31" s="42"/>
      <c r="H31" s="42"/>
      <c r="I31" s="42"/>
      <c r="J31" s="42"/>
      <c r="K31" s="42"/>
      <c r="L31" s="42"/>
      <c r="M31" s="42"/>
      <c r="N31" s="42"/>
      <c r="O31" s="42"/>
      <c r="P31" s="42"/>
      <c r="Q31" s="42"/>
      <c r="R31" s="42"/>
      <c r="S31" s="42"/>
      <c r="AB31" s="68"/>
    </row>
    <row r="32" spans="1:29" s="56" customFormat="1" ht="12.75" customHeight="1">
      <c r="A32" s="54"/>
      <c r="B32" s="55"/>
      <c r="C32" s="66"/>
      <c r="D32" s="66"/>
      <c r="E32" s="34"/>
      <c r="F32" s="34"/>
      <c r="G32" s="34"/>
      <c r="H32" s="34"/>
      <c r="I32" s="34"/>
      <c r="J32" s="34"/>
      <c r="K32" s="34"/>
      <c r="L32" s="34"/>
      <c r="M32" s="34"/>
      <c r="N32" s="34"/>
      <c r="O32" s="34"/>
      <c r="P32" s="34"/>
      <c r="Q32" s="34"/>
      <c r="R32" s="34"/>
      <c r="S32" s="34"/>
      <c r="AB32" s="68"/>
    </row>
    <row r="33" spans="1:28" s="56" customFormat="1" ht="12.75" customHeight="1">
      <c r="A33" s="54"/>
      <c r="B33" s="55"/>
      <c r="C33" s="70" t="s">
        <v>13</v>
      </c>
      <c r="D33" s="66"/>
      <c r="E33" s="35">
        <f t="shared" ref="E33:S33" si="5">IF(AND(E18="Yes",E22&gt;0),((((E24*E25)+(E27*E28))/100)/2*(E16*E22)),0)</f>
        <v>0</v>
      </c>
      <c r="F33" s="35">
        <f t="shared" si="5"/>
        <v>0</v>
      </c>
      <c r="G33" s="35">
        <f t="shared" si="5"/>
        <v>0</v>
      </c>
      <c r="H33" s="35">
        <f t="shared" si="5"/>
        <v>0</v>
      </c>
      <c r="I33" s="35">
        <f t="shared" si="5"/>
        <v>0</v>
      </c>
      <c r="J33" s="35">
        <f t="shared" si="5"/>
        <v>0</v>
      </c>
      <c r="K33" s="35">
        <f t="shared" si="5"/>
        <v>0</v>
      </c>
      <c r="L33" s="35">
        <f t="shared" si="5"/>
        <v>0</v>
      </c>
      <c r="M33" s="35">
        <f t="shared" si="5"/>
        <v>0</v>
      </c>
      <c r="N33" s="35">
        <f t="shared" si="5"/>
        <v>0</v>
      </c>
      <c r="O33" s="35">
        <f t="shared" si="5"/>
        <v>0</v>
      </c>
      <c r="P33" s="35">
        <f t="shared" si="5"/>
        <v>0</v>
      </c>
      <c r="Q33" s="35">
        <f t="shared" si="5"/>
        <v>0</v>
      </c>
      <c r="R33" s="35">
        <f t="shared" si="5"/>
        <v>0</v>
      </c>
      <c r="S33" s="35">
        <f t="shared" si="5"/>
        <v>0</v>
      </c>
      <c r="AB33" s="68"/>
    </row>
    <row r="34" spans="1:28" s="56" customFormat="1" ht="12.75" customHeight="1">
      <c r="A34" s="54"/>
      <c r="B34" s="55"/>
      <c r="C34" s="66"/>
      <c r="D34" s="66"/>
      <c r="E34" s="31"/>
      <c r="F34" s="31"/>
      <c r="G34" s="31"/>
      <c r="H34" s="67"/>
      <c r="I34" s="67"/>
      <c r="J34" s="67"/>
      <c r="K34" s="67"/>
      <c r="L34" s="67"/>
      <c r="M34" s="67"/>
      <c r="N34" s="67"/>
      <c r="O34" s="67"/>
      <c r="P34" s="67"/>
      <c r="Q34" s="67"/>
      <c r="R34" s="67"/>
      <c r="S34" s="67"/>
    </row>
    <row r="35" spans="1:28" s="56" customFormat="1" ht="12.75" customHeight="1">
      <c r="A35" s="54"/>
      <c r="B35" s="55"/>
      <c r="C35" s="66" t="s">
        <v>46</v>
      </c>
      <c r="D35" s="66"/>
      <c r="E35" s="36"/>
      <c r="F35" s="36"/>
      <c r="G35" s="36"/>
      <c r="H35" s="36"/>
      <c r="I35" s="36"/>
      <c r="J35" s="36"/>
      <c r="K35" s="36"/>
      <c r="L35" s="36"/>
      <c r="M35" s="36"/>
      <c r="N35" s="36"/>
      <c r="O35" s="36"/>
      <c r="P35" s="36"/>
      <c r="Q35" s="36"/>
      <c r="R35" s="36"/>
      <c r="S35" s="36"/>
    </row>
    <row r="36" spans="1:28" s="56" customFormat="1" ht="12.75" customHeight="1">
      <c r="A36" s="54"/>
      <c r="B36" s="55"/>
      <c r="C36" s="66"/>
      <c r="D36" s="66"/>
      <c r="E36" s="31"/>
      <c r="F36" s="31"/>
      <c r="G36" s="31"/>
      <c r="H36" s="67"/>
      <c r="I36" s="67"/>
      <c r="J36" s="67"/>
      <c r="K36" s="67"/>
      <c r="L36" s="67"/>
      <c r="M36" s="67"/>
      <c r="N36" s="67"/>
      <c r="O36" s="67"/>
      <c r="P36" s="67"/>
      <c r="Q36" s="67"/>
      <c r="R36" s="67"/>
      <c r="S36" s="67"/>
    </row>
    <row r="37" spans="1:28" s="56" customFormat="1" ht="12.75" customHeight="1">
      <c r="A37" s="54"/>
      <c r="B37" s="55"/>
      <c r="C37" s="66" t="s">
        <v>43</v>
      </c>
      <c r="D37" s="66"/>
      <c r="E37" s="31"/>
      <c r="F37" s="31"/>
      <c r="G37" s="31"/>
      <c r="H37" s="67"/>
      <c r="I37" s="67"/>
      <c r="J37" s="67"/>
      <c r="K37" s="67"/>
      <c r="L37" s="67"/>
      <c r="M37" s="67"/>
      <c r="N37" s="67"/>
      <c r="O37" s="67"/>
      <c r="P37" s="67"/>
      <c r="Q37" s="67"/>
      <c r="R37" s="67"/>
      <c r="S37" s="67"/>
    </row>
    <row r="38" spans="1:28" s="56" customFormat="1" ht="12.75" customHeight="1">
      <c r="A38" s="54"/>
      <c r="B38" s="55"/>
      <c r="C38" s="66" t="s">
        <v>44</v>
      </c>
      <c r="D38" s="66"/>
      <c r="E38" s="36"/>
      <c r="F38" s="36"/>
      <c r="G38" s="36"/>
      <c r="H38" s="36"/>
      <c r="I38" s="36"/>
      <c r="J38" s="36"/>
      <c r="K38" s="36"/>
      <c r="L38" s="36"/>
      <c r="M38" s="36"/>
      <c r="N38" s="36"/>
      <c r="O38" s="36"/>
      <c r="P38" s="36"/>
      <c r="Q38" s="36"/>
      <c r="R38" s="36"/>
      <c r="S38" s="36"/>
    </row>
    <row r="39" spans="1:28" s="56" customFormat="1" ht="12.75" customHeight="1">
      <c r="A39" s="54"/>
      <c r="B39" s="55"/>
      <c r="C39" s="66"/>
      <c r="D39" s="66"/>
      <c r="E39" s="31"/>
      <c r="F39" s="31"/>
      <c r="G39" s="31"/>
      <c r="H39" s="67"/>
      <c r="I39" s="67"/>
      <c r="J39" s="67"/>
      <c r="K39" s="67"/>
      <c r="L39" s="67"/>
      <c r="M39" s="67"/>
      <c r="N39" s="67"/>
      <c r="O39" s="67"/>
      <c r="P39" s="67"/>
      <c r="Q39" s="67"/>
      <c r="R39" s="67"/>
      <c r="S39" s="67"/>
    </row>
    <row r="40" spans="1:28" s="56" customFormat="1" ht="12.75" customHeight="1">
      <c r="A40" s="54"/>
      <c r="B40" s="55"/>
      <c r="C40" s="70" t="s">
        <v>55</v>
      </c>
      <c r="D40" s="66"/>
      <c r="E40" s="27">
        <f>E16*E35</f>
        <v>0</v>
      </c>
      <c r="F40" s="27">
        <f t="shared" ref="F40:T40" si="6">F16*F35</f>
        <v>0</v>
      </c>
      <c r="G40" s="27">
        <f t="shared" si="6"/>
        <v>0</v>
      </c>
      <c r="H40" s="27">
        <f t="shared" si="6"/>
        <v>0</v>
      </c>
      <c r="I40" s="27">
        <f t="shared" si="6"/>
        <v>0</v>
      </c>
      <c r="J40" s="27">
        <f t="shared" si="6"/>
        <v>0</v>
      </c>
      <c r="K40" s="27">
        <f t="shared" si="6"/>
        <v>0</v>
      </c>
      <c r="L40" s="27">
        <f t="shared" si="6"/>
        <v>0</v>
      </c>
      <c r="M40" s="27">
        <f t="shared" si="6"/>
        <v>0</v>
      </c>
      <c r="N40" s="27">
        <f t="shared" si="6"/>
        <v>0</v>
      </c>
      <c r="O40" s="27">
        <f t="shared" si="6"/>
        <v>0</v>
      </c>
      <c r="P40" s="27">
        <f t="shared" si="6"/>
        <v>0</v>
      </c>
      <c r="Q40" s="27">
        <f t="shared" si="6"/>
        <v>0</v>
      </c>
      <c r="R40" s="27">
        <f t="shared" si="6"/>
        <v>0</v>
      </c>
      <c r="S40" s="27">
        <f t="shared" si="6"/>
        <v>0</v>
      </c>
    </row>
    <row r="41" spans="1:28" s="56" customFormat="1" ht="12.75" customHeight="1">
      <c r="A41" s="54"/>
      <c r="B41" s="55"/>
      <c r="C41" s="66"/>
      <c r="D41" s="66"/>
      <c r="E41" s="31"/>
      <c r="F41" s="31"/>
      <c r="G41" s="31"/>
      <c r="H41" s="67"/>
      <c r="I41" s="67"/>
      <c r="J41" s="67"/>
      <c r="K41" s="67"/>
      <c r="L41" s="67"/>
      <c r="M41" s="67"/>
      <c r="N41" s="67"/>
      <c r="O41" s="67"/>
      <c r="P41" s="67"/>
      <c r="Q41" s="67"/>
      <c r="R41" s="67"/>
      <c r="S41" s="67"/>
    </row>
    <row r="42" spans="1:28" s="56" customFormat="1" ht="12.75" customHeight="1">
      <c r="A42" s="54"/>
      <c r="B42" s="55"/>
      <c r="C42" s="66" t="s">
        <v>18</v>
      </c>
      <c r="D42" s="66"/>
      <c r="E42" s="71"/>
      <c r="F42" s="71"/>
      <c r="G42" s="71"/>
      <c r="H42" s="71"/>
      <c r="I42" s="71"/>
      <c r="J42" s="71"/>
      <c r="K42" s="71"/>
      <c r="L42" s="71"/>
      <c r="M42" s="71"/>
      <c r="N42" s="71"/>
      <c r="O42" s="71"/>
      <c r="P42" s="71"/>
      <c r="Q42" s="71"/>
      <c r="R42" s="71"/>
      <c r="S42" s="71"/>
    </row>
    <row r="43" spans="1:28" s="56" customFormat="1" ht="12.75" customHeight="1">
      <c r="A43" s="54"/>
      <c r="B43" s="55"/>
      <c r="C43" s="66" t="s">
        <v>45</v>
      </c>
      <c r="D43" s="66"/>
      <c r="E43" s="37">
        <f>E33-E40</f>
        <v>0</v>
      </c>
      <c r="F43" s="37">
        <f t="shared" ref="F43:K43" si="7">F33-F40</f>
        <v>0</v>
      </c>
      <c r="G43" s="37">
        <f t="shared" si="7"/>
        <v>0</v>
      </c>
      <c r="H43" s="37">
        <f t="shared" si="7"/>
        <v>0</v>
      </c>
      <c r="I43" s="37">
        <f t="shared" si="7"/>
        <v>0</v>
      </c>
      <c r="J43" s="37">
        <f>J33-J40</f>
        <v>0</v>
      </c>
      <c r="K43" s="37">
        <f t="shared" si="7"/>
        <v>0</v>
      </c>
      <c r="L43" s="37">
        <f t="shared" ref="L43:S43" si="8">L33-(L35*L16)-(L38*L16)</f>
        <v>0</v>
      </c>
      <c r="M43" s="37">
        <f t="shared" si="8"/>
        <v>0</v>
      </c>
      <c r="N43" s="37">
        <f t="shared" si="8"/>
        <v>0</v>
      </c>
      <c r="O43" s="37">
        <f t="shared" si="8"/>
        <v>0</v>
      </c>
      <c r="P43" s="37">
        <f t="shared" si="8"/>
        <v>0</v>
      </c>
      <c r="Q43" s="37">
        <f t="shared" si="8"/>
        <v>0</v>
      </c>
      <c r="R43" s="37">
        <f t="shared" si="8"/>
        <v>0</v>
      </c>
      <c r="S43" s="37">
        <f t="shared" si="8"/>
        <v>0</v>
      </c>
    </row>
    <row r="44" spans="1:28" s="56" customFormat="1" ht="12.75" customHeight="1">
      <c r="A44" s="54"/>
      <c r="B44" s="55"/>
      <c r="C44" s="66"/>
      <c r="D44" s="66"/>
      <c r="E44" s="31"/>
      <c r="F44" s="31"/>
      <c r="G44" s="31"/>
      <c r="H44" s="67"/>
      <c r="I44" s="67"/>
      <c r="J44" s="67"/>
      <c r="K44" s="67"/>
      <c r="L44" s="67"/>
      <c r="M44" s="67"/>
      <c r="N44" s="67"/>
      <c r="O44" s="67"/>
      <c r="P44" s="67"/>
      <c r="Q44" s="67"/>
      <c r="R44" s="67"/>
      <c r="S44" s="67"/>
    </row>
    <row r="45" spans="1:28" s="56" customFormat="1" ht="12.75" customHeight="1">
      <c r="A45" s="54"/>
      <c r="B45" s="55"/>
      <c r="C45" s="59" t="s">
        <v>35</v>
      </c>
      <c r="D45" s="61" t="s">
        <v>19</v>
      </c>
      <c r="E45" s="72">
        <f t="shared" ref="E45:S45" si="9">E15</f>
        <v>0</v>
      </c>
      <c r="F45" s="72">
        <f t="shared" si="9"/>
        <v>1</v>
      </c>
      <c r="G45" s="72">
        <f t="shared" si="9"/>
        <v>2</v>
      </c>
      <c r="H45" s="72">
        <f t="shared" si="9"/>
        <v>3</v>
      </c>
      <c r="I45" s="72">
        <f t="shared" si="9"/>
        <v>4</v>
      </c>
      <c r="J45" s="72">
        <f t="shared" si="9"/>
        <v>5</v>
      </c>
      <c r="K45" s="72">
        <f t="shared" si="9"/>
        <v>6</v>
      </c>
      <c r="L45" s="72">
        <f t="shared" si="9"/>
        <v>7</v>
      </c>
      <c r="M45" s="72">
        <f t="shared" si="9"/>
        <v>8</v>
      </c>
      <c r="N45" s="72">
        <f t="shared" si="9"/>
        <v>9</v>
      </c>
      <c r="O45" s="72">
        <f t="shared" si="9"/>
        <v>10</v>
      </c>
      <c r="P45" s="72">
        <f t="shared" si="9"/>
        <v>11</v>
      </c>
      <c r="Q45" s="72">
        <f t="shared" si="9"/>
        <v>12</v>
      </c>
      <c r="R45" s="72">
        <f t="shared" si="9"/>
        <v>13</v>
      </c>
      <c r="S45" s="72">
        <f t="shared" si="9"/>
        <v>14</v>
      </c>
    </row>
    <row r="46" spans="1:28" s="56" customFormat="1" ht="12.75" customHeight="1">
      <c r="A46" s="54"/>
      <c r="B46" s="55"/>
      <c r="C46" s="59"/>
      <c r="D46" s="73" t="s">
        <v>22</v>
      </c>
      <c r="E46" s="74" t="s">
        <v>23</v>
      </c>
      <c r="F46" s="74" t="s">
        <v>24</v>
      </c>
      <c r="G46" s="74" t="s">
        <v>25</v>
      </c>
      <c r="H46" s="74" t="s">
        <v>26</v>
      </c>
      <c r="I46" s="74" t="s">
        <v>27</v>
      </c>
      <c r="J46" s="74" t="s">
        <v>28</v>
      </c>
      <c r="K46" s="74" t="s">
        <v>29</v>
      </c>
      <c r="L46" s="74" t="s">
        <v>30</v>
      </c>
      <c r="M46" s="74" t="s">
        <v>31</v>
      </c>
      <c r="N46" s="74" t="s">
        <v>32</v>
      </c>
      <c r="O46" s="74" t="s">
        <v>33</v>
      </c>
      <c r="P46" s="74" t="s">
        <v>72</v>
      </c>
      <c r="Q46" s="74" t="s">
        <v>73</v>
      </c>
      <c r="R46" s="74" t="s">
        <v>74</v>
      </c>
      <c r="S46" s="74" t="s">
        <v>75</v>
      </c>
    </row>
    <row r="47" spans="1:28" s="56" customFormat="1" ht="12.75" customHeight="1">
      <c r="A47" s="54"/>
      <c r="B47" s="55"/>
      <c r="C47" s="75"/>
      <c r="D47" s="75"/>
      <c r="E47" s="37"/>
      <c r="F47" s="37"/>
      <c r="G47" s="37"/>
      <c r="H47" s="37"/>
      <c r="I47" s="37"/>
      <c r="J47" s="37"/>
      <c r="K47" s="37"/>
      <c r="L47" s="37"/>
      <c r="M47" s="37"/>
      <c r="N47" s="37"/>
      <c r="O47" s="37"/>
      <c r="P47" s="37"/>
      <c r="Q47" s="37"/>
      <c r="R47" s="37"/>
      <c r="S47" s="37"/>
    </row>
    <row r="48" spans="1:28" s="56" customFormat="1" ht="12.75" customHeight="1">
      <c r="A48" s="54"/>
      <c r="B48" s="55"/>
      <c r="C48" s="75" t="s">
        <v>14</v>
      </c>
      <c r="D48" s="75"/>
      <c r="E48" s="37">
        <f t="shared" ref="E48:S48" si="10">E43</f>
        <v>0</v>
      </c>
      <c r="F48" s="37">
        <f t="shared" si="10"/>
        <v>0</v>
      </c>
      <c r="G48" s="37">
        <f t="shared" si="10"/>
        <v>0</v>
      </c>
      <c r="H48" s="37">
        <f t="shared" si="10"/>
        <v>0</v>
      </c>
      <c r="I48" s="37">
        <f t="shared" si="10"/>
        <v>0</v>
      </c>
      <c r="J48" s="37">
        <f t="shared" si="10"/>
        <v>0</v>
      </c>
      <c r="K48" s="37">
        <f t="shared" si="10"/>
        <v>0</v>
      </c>
      <c r="L48" s="37">
        <f t="shared" si="10"/>
        <v>0</v>
      </c>
      <c r="M48" s="37">
        <f t="shared" si="10"/>
        <v>0</v>
      </c>
      <c r="N48" s="37">
        <f t="shared" si="10"/>
        <v>0</v>
      </c>
      <c r="O48" s="37">
        <f t="shared" si="10"/>
        <v>0</v>
      </c>
      <c r="P48" s="37">
        <f t="shared" si="10"/>
        <v>0</v>
      </c>
      <c r="Q48" s="37">
        <f t="shared" si="10"/>
        <v>0</v>
      </c>
      <c r="R48" s="37">
        <f t="shared" si="10"/>
        <v>0</v>
      </c>
      <c r="S48" s="37">
        <f t="shared" si="10"/>
        <v>0</v>
      </c>
    </row>
    <row r="49" spans="1:19" s="56" customFormat="1" ht="12.75" customHeight="1">
      <c r="A49" s="54"/>
      <c r="B49" s="55"/>
      <c r="C49" s="75"/>
      <c r="D49" s="75"/>
      <c r="E49" s="37"/>
      <c r="F49" s="37"/>
      <c r="G49" s="37"/>
      <c r="H49" s="37"/>
      <c r="I49" s="37"/>
      <c r="J49" s="37"/>
      <c r="K49" s="37"/>
      <c r="L49" s="37"/>
      <c r="M49" s="37"/>
      <c r="N49" s="37"/>
      <c r="O49" s="37"/>
      <c r="P49" s="37"/>
      <c r="Q49" s="37"/>
      <c r="R49" s="37"/>
      <c r="S49" s="37"/>
    </row>
    <row r="50" spans="1:19" s="56" customFormat="1" ht="12.75" customHeight="1">
      <c r="A50" s="54"/>
      <c r="B50" s="55"/>
      <c r="C50" s="75" t="s">
        <v>15</v>
      </c>
      <c r="D50" s="75"/>
      <c r="E50" s="37">
        <f t="shared" ref="E50:K50" si="11">(E16-(E16*(1-E21)))*(E30*E31/100)</f>
        <v>0</v>
      </c>
      <c r="F50" s="37">
        <f t="shared" si="11"/>
        <v>0</v>
      </c>
      <c r="G50" s="37">
        <f t="shared" si="11"/>
        <v>0</v>
      </c>
      <c r="H50" s="37">
        <f t="shared" si="11"/>
        <v>0</v>
      </c>
      <c r="I50" s="37">
        <f t="shared" si="11"/>
        <v>0</v>
      </c>
      <c r="J50" s="37">
        <f t="shared" si="11"/>
        <v>0</v>
      </c>
      <c r="K50" s="37">
        <f t="shared" si="11"/>
        <v>0</v>
      </c>
      <c r="L50" s="37">
        <f t="shared" ref="L50:S50" si="12">(L16-L17)*(L30*L31/100)</f>
        <v>0</v>
      </c>
      <c r="M50" s="37">
        <f t="shared" si="12"/>
        <v>0</v>
      </c>
      <c r="N50" s="37">
        <f t="shared" si="12"/>
        <v>0</v>
      </c>
      <c r="O50" s="37">
        <f t="shared" si="12"/>
        <v>0</v>
      </c>
      <c r="P50" s="37">
        <f t="shared" si="12"/>
        <v>0</v>
      </c>
      <c r="Q50" s="37">
        <f t="shared" si="12"/>
        <v>0</v>
      </c>
      <c r="R50" s="37">
        <f t="shared" si="12"/>
        <v>0</v>
      </c>
      <c r="S50" s="37">
        <f t="shared" si="12"/>
        <v>0</v>
      </c>
    </row>
    <row r="51" spans="1:19" s="56" customFormat="1" ht="12.75" customHeight="1">
      <c r="A51" s="54"/>
      <c r="B51" s="55"/>
      <c r="C51" s="75"/>
      <c r="D51" s="75"/>
      <c r="E51" s="37"/>
      <c r="F51" s="37"/>
      <c r="G51" s="37"/>
      <c r="H51" s="37"/>
      <c r="I51" s="37"/>
      <c r="J51" s="37"/>
      <c r="K51" s="37"/>
      <c r="L51" s="37"/>
      <c r="M51" s="37"/>
      <c r="N51" s="37"/>
      <c r="O51" s="37"/>
      <c r="P51" s="37"/>
      <c r="Q51" s="37"/>
      <c r="R51" s="37"/>
      <c r="S51" s="37"/>
    </row>
    <row r="52" spans="1:19" s="56" customFormat="1" ht="12.75" customHeight="1">
      <c r="A52" s="54"/>
      <c r="B52" s="55"/>
      <c r="C52" s="75" t="s">
        <v>63</v>
      </c>
      <c r="D52" s="75"/>
      <c r="E52" s="37">
        <f t="shared" ref="E52:S52" si="13">E30*E31/100*(E16*(1-E20-E21))</f>
        <v>0</v>
      </c>
      <c r="F52" s="37">
        <f t="shared" si="13"/>
        <v>0</v>
      </c>
      <c r="G52" s="37">
        <f t="shared" si="13"/>
        <v>0</v>
      </c>
      <c r="H52" s="37">
        <f t="shared" si="13"/>
        <v>0</v>
      </c>
      <c r="I52" s="37">
        <f t="shared" si="13"/>
        <v>0</v>
      </c>
      <c r="J52" s="37">
        <f t="shared" si="13"/>
        <v>0</v>
      </c>
      <c r="K52" s="37">
        <f t="shared" si="13"/>
        <v>0</v>
      </c>
      <c r="L52" s="37">
        <f t="shared" si="13"/>
        <v>0</v>
      </c>
      <c r="M52" s="37">
        <f t="shared" si="13"/>
        <v>0</v>
      </c>
      <c r="N52" s="37">
        <f t="shared" si="13"/>
        <v>0</v>
      </c>
      <c r="O52" s="37">
        <f t="shared" si="13"/>
        <v>0</v>
      </c>
      <c r="P52" s="37">
        <f t="shared" si="13"/>
        <v>0</v>
      </c>
      <c r="Q52" s="37">
        <f t="shared" si="13"/>
        <v>0</v>
      </c>
      <c r="R52" s="37">
        <f t="shared" si="13"/>
        <v>0</v>
      </c>
      <c r="S52" s="37">
        <f t="shared" si="13"/>
        <v>0</v>
      </c>
    </row>
    <row r="53" spans="1:19" s="56" customFormat="1" ht="12.75" customHeight="1">
      <c r="A53" s="54"/>
      <c r="B53" s="55"/>
      <c r="C53" s="75"/>
      <c r="D53" s="75"/>
      <c r="E53" s="37"/>
      <c r="F53" s="37"/>
      <c r="G53" s="37"/>
      <c r="H53" s="37"/>
      <c r="I53" s="37"/>
      <c r="J53" s="37"/>
      <c r="K53" s="37"/>
      <c r="L53" s="37"/>
      <c r="M53" s="37"/>
      <c r="N53" s="37"/>
      <c r="O53" s="37"/>
      <c r="P53" s="37"/>
      <c r="Q53" s="37"/>
      <c r="R53" s="37"/>
      <c r="S53" s="37"/>
    </row>
    <row r="54" spans="1:19" s="56" customFormat="1" ht="12.75" customHeight="1">
      <c r="A54" s="54"/>
      <c r="B54" s="55"/>
      <c r="C54" s="75" t="s">
        <v>53</v>
      </c>
      <c r="D54" s="75"/>
      <c r="E54" s="27"/>
      <c r="F54" s="27"/>
      <c r="G54" s="27"/>
      <c r="H54" s="27"/>
      <c r="I54" s="27"/>
      <c r="J54" s="27"/>
      <c r="K54" s="27"/>
      <c r="L54" s="27"/>
      <c r="M54" s="27"/>
      <c r="N54" s="27"/>
      <c r="O54" s="34"/>
      <c r="P54" s="34"/>
      <c r="Q54" s="34"/>
      <c r="R54" s="34"/>
      <c r="S54" s="34"/>
    </row>
    <row r="55" spans="1:19" s="56" customFormat="1" ht="12.75" customHeight="1">
      <c r="A55" s="54"/>
      <c r="B55" s="55"/>
      <c r="C55" s="57" t="s">
        <v>59</v>
      </c>
      <c r="D55" s="76">
        <f>-E10*E11</f>
        <v>0</v>
      </c>
      <c r="E55" s="37">
        <f>E48+E50</f>
        <v>0</v>
      </c>
      <c r="F55" s="37">
        <f t="shared" ref="F55:S55" si="14">F48+F50</f>
        <v>0</v>
      </c>
      <c r="G55" s="37">
        <f t="shared" si="14"/>
        <v>0</v>
      </c>
      <c r="H55" s="37">
        <f t="shared" si="14"/>
        <v>0</v>
      </c>
      <c r="I55" s="37">
        <f t="shared" si="14"/>
        <v>0</v>
      </c>
      <c r="J55" s="37">
        <f t="shared" si="14"/>
        <v>0</v>
      </c>
      <c r="K55" s="37">
        <f t="shared" si="14"/>
        <v>0</v>
      </c>
      <c r="L55" s="37">
        <f t="shared" si="14"/>
        <v>0</v>
      </c>
      <c r="M55" s="37">
        <f t="shared" si="14"/>
        <v>0</v>
      </c>
      <c r="N55" s="37">
        <f t="shared" si="14"/>
        <v>0</v>
      </c>
      <c r="O55" s="37">
        <f t="shared" si="14"/>
        <v>0</v>
      </c>
      <c r="P55" s="37">
        <f t="shared" si="14"/>
        <v>0</v>
      </c>
      <c r="Q55" s="37">
        <f t="shared" si="14"/>
        <v>0</v>
      </c>
      <c r="R55" s="37">
        <f t="shared" si="14"/>
        <v>0</v>
      </c>
      <c r="S55" s="37">
        <f t="shared" si="14"/>
        <v>0</v>
      </c>
    </row>
    <row r="56" spans="1:19" s="56" customFormat="1" ht="12.75" customHeight="1">
      <c r="A56" s="54"/>
      <c r="B56" s="55"/>
      <c r="C56" s="75" t="s">
        <v>52</v>
      </c>
      <c r="D56" s="77" t="e">
        <f t="shared" ref="D56:S56" si="15">D55/$E$11</f>
        <v>#DIV/0!</v>
      </c>
      <c r="E56" s="77" t="e">
        <f t="shared" si="15"/>
        <v>#DIV/0!</v>
      </c>
      <c r="F56" s="77" t="e">
        <f t="shared" si="15"/>
        <v>#DIV/0!</v>
      </c>
      <c r="G56" s="77" t="e">
        <f t="shared" si="15"/>
        <v>#DIV/0!</v>
      </c>
      <c r="H56" s="77" t="e">
        <f t="shared" si="15"/>
        <v>#DIV/0!</v>
      </c>
      <c r="I56" s="77" t="e">
        <f t="shared" si="15"/>
        <v>#DIV/0!</v>
      </c>
      <c r="J56" s="77" t="e">
        <f t="shared" si="15"/>
        <v>#DIV/0!</v>
      </c>
      <c r="K56" s="77" t="e">
        <f t="shared" si="15"/>
        <v>#DIV/0!</v>
      </c>
      <c r="L56" s="77" t="e">
        <f t="shared" si="15"/>
        <v>#DIV/0!</v>
      </c>
      <c r="M56" s="77" t="e">
        <f t="shared" si="15"/>
        <v>#DIV/0!</v>
      </c>
      <c r="N56" s="77" t="e">
        <f t="shared" si="15"/>
        <v>#DIV/0!</v>
      </c>
      <c r="O56" s="77" t="e">
        <f t="shared" si="15"/>
        <v>#DIV/0!</v>
      </c>
      <c r="P56" s="77" t="e">
        <f t="shared" si="15"/>
        <v>#DIV/0!</v>
      </c>
      <c r="Q56" s="77" t="e">
        <f t="shared" si="15"/>
        <v>#DIV/0!</v>
      </c>
      <c r="R56" s="77" t="e">
        <f t="shared" si="15"/>
        <v>#DIV/0!</v>
      </c>
      <c r="S56" s="77" t="e">
        <f t="shared" si="15"/>
        <v>#DIV/0!</v>
      </c>
    </row>
    <row r="57" spans="1:19" s="56" customFormat="1" ht="12.75" customHeight="1">
      <c r="A57" s="54"/>
      <c r="B57" s="55"/>
      <c r="C57" s="75"/>
      <c r="D57" s="77"/>
      <c r="E57" s="37"/>
      <c r="F57" s="37"/>
      <c r="G57" s="37"/>
      <c r="H57" s="37"/>
      <c r="I57" s="37"/>
      <c r="J57" s="37"/>
      <c r="K57" s="37"/>
      <c r="L57" s="37"/>
      <c r="M57" s="37"/>
      <c r="N57" s="37"/>
      <c r="O57" s="37"/>
      <c r="P57" s="37"/>
      <c r="Q57" s="37"/>
      <c r="R57" s="37"/>
      <c r="S57" s="37"/>
    </row>
    <row r="58" spans="1:19" s="56" customFormat="1" ht="12.75" customHeight="1">
      <c r="A58" s="54"/>
      <c r="B58" s="55"/>
      <c r="C58" s="75" t="s">
        <v>34</v>
      </c>
      <c r="D58" s="77"/>
      <c r="E58" s="37"/>
      <c r="F58" s="37"/>
      <c r="G58" s="37"/>
      <c r="H58" s="37"/>
      <c r="I58" s="37"/>
      <c r="J58" s="37"/>
      <c r="K58" s="37"/>
      <c r="L58" s="37"/>
      <c r="M58" s="37"/>
      <c r="N58" s="37"/>
      <c r="O58" s="37"/>
      <c r="P58" s="37"/>
      <c r="Q58" s="37"/>
      <c r="R58" s="37"/>
      <c r="S58" s="37"/>
    </row>
    <row r="59" spans="1:19" s="56" customFormat="1" ht="12.75" customHeight="1">
      <c r="A59" s="54"/>
      <c r="B59" s="55"/>
      <c r="C59" s="70" t="s">
        <v>61</v>
      </c>
      <c r="D59" s="77"/>
      <c r="E59" s="37"/>
      <c r="F59" s="37"/>
      <c r="G59" s="37"/>
      <c r="H59" s="37"/>
      <c r="I59" s="37"/>
      <c r="J59" s="37"/>
      <c r="K59" s="37"/>
      <c r="L59" s="37"/>
      <c r="M59" s="37"/>
      <c r="N59" s="37"/>
      <c r="O59" s="37"/>
      <c r="P59" s="37"/>
      <c r="Q59" s="37"/>
      <c r="R59" s="37"/>
      <c r="S59" s="37"/>
    </row>
    <row r="60" spans="1:19" s="56" customFormat="1" ht="12.75" customHeight="1">
      <c r="A60" s="54"/>
      <c r="B60" s="55"/>
      <c r="C60" s="57" t="s">
        <v>59</v>
      </c>
      <c r="D60" s="78">
        <f>IF(OR(D55&lt;0,D55&gt;0),D55,0)</f>
        <v>0</v>
      </c>
      <c r="E60" s="29" t="e">
        <f t="shared" ref="E60:S60" si="16">IF(OR(E55&lt;0,E55&gt;0),D60+E55,NA())</f>
        <v>#N/A</v>
      </c>
      <c r="F60" s="29" t="e">
        <f t="shared" si="16"/>
        <v>#N/A</v>
      </c>
      <c r="G60" s="29" t="e">
        <f t="shared" si="16"/>
        <v>#N/A</v>
      </c>
      <c r="H60" s="29" t="e">
        <f t="shared" si="16"/>
        <v>#N/A</v>
      </c>
      <c r="I60" s="29" t="e">
        <f t="shared" si="16"/>
        <v>#N/A</v>
      </c>
      <c r="J60" s="29" t="e">
        <f t="shared" si="16"/>
        <v>#N/A</v>
      </c>
      <c r="K60" s="29" t="e">
        <f t="shared" si="16"/>
        <v>#N/A</v>
      </c>
      <c r="L60" s="29" t="e">
        <f t="shared" si="16"/>
        <v>#N/A</v>
      </c>
      <c r="M60" s="29" t="e">
        <f t="shared" si="16"/>
        <v>#N/A</v>
      </c>
      <c r="N60" s="29" t="e">
        <f t="shared" si="16"/>
        <v>#N/A</v>
      </c>
      <c r="O60" s="29" t="e">
        <f t="shared" si="16"/>
        <v>#N/A</v>
      </c>
      <c r="P60" s="29" t="e">
        <f t="shared" si="16"/>
        <v>#N/A</v>
      </c>
      <c r="Q60" s="29" t="e">
        <f t="shared" si="16"/>
        <v>#N/A</v>
      </c>
      <c r="R60" s="29" t="e">
        <f t="shared" si="16"/>
        <v>#N/A</v>
      </c>
      <c r="S60" s="29" t="e">
        <f t="shared" si="16"/>
        <v>#N/A</v>
      </c>
    </row>
    <row r="61" spans="1:19" s="56" customFormat="1" ht="12.75" customHeight="1">
      <c r="A61" s="54"/>
      <c r="B61" s="55"/>
      <c r="C61" s="75" t="s">
        <v>52</v>
      </c>
      <c r="D61" s="79" t="e">
        <f>D60/$E$11</f>
        <v>#DIV/0!</v>
      </c>
      <c r="E61" s="79" t="e">
        <f t="shared" ref="E61:S61" si="17">E60/$E$11</f>
        <v>#N/A</v>
      </c>
      <c r="F61" s="79" t="e">
        <f t="shared" si="17"/>
        <v>#N/A</v>
      </c>
      <c r="G61" s="79" t="e">
        <f t="shared" si="17"/>
        <v>#N/A</v>
      </c>
      <c r="H61" s="79" t="e">
        <f t="shared" si="17"/>
        <v>#N/A</v>
      </c>
      <c r="I61" s="79" t="e">
        <f t="shared" si="17"/>
        <v>#N/A</v>
      </c>
      <c r="J61" s="79" t="e">
        <f t="shared" si="17"/>
        <v>#N/A</v>
      </c>
      <c r="K61" s="79" t="e">
        <f t="shared" si="17"/>
        <v>#N/A</v>
      </c>
      <c r="L61" s="79" t="e">
        <f t="shared" si="17"/>
        <v>#N/A</v>
      </c>
      <c r="M61" s="79" t="e">
        <f t="shared" si="17"/>
        <v>#N/A</v>
      </c>
      <c r="N61" s="79" t="e">
        <f t="shared" si="17"/>
        <v>#N/A</v>
      </c>
      <c r="O61" s="79" t="e">
        <f t="shared" si="17"/>
        <v>#N/A</v>
      </c>
      <c r="P61" s="79" t="e">
        <f t="shared" si="17"/>
        <v>#N/A</v>
      </c>
      <c r="Q61" s="79" t="e">
        <f t="shared" si="17"/>
        <v>#N/A</v>
      </c>
      <c r="R61" s="79" t="e">
        <f t="shared" si="17"/>
        <v>#N/A</v>
      </c>
      <c r="S61" s="79" t="e">
        <f t="shared" si="17"/>
        <v>#N/A</v>
      </c>
    </row>
    <row r="62" spans="1:19" s="56" customFormat="1" ht="12.75" customHeight="1">
      <c r="A62" s="54"/>
      <c r="B62" s="55"/>
      <c r="C62" s="75"/>
      <c r="D62" s="80"/>
      <c r="E62" s="31"/>
      <c r="F62" s="31"/>
      <c r="G62" s="31"/>
      <c r="H62" s="71"/>
      <c r="I62" s="71"/>
      <c r="J62" s="71"/>
      <c r="K62" s="71"/>
      <c r="L62" s="71"/>
      <c r="M62" s="71"/>
      <c r="N62" s="71"/>
      <c r="O62" s="71"/>
      <c r="P62" s="71"/>
      <c r="Q62" s="71"/>
      <c r="R62" s="71"/>
      <c r="S62" s="71"/>
    </row>
    <row r="63" spans="1:19" s="56" customFormat="1" ht="12.75" customHeight="1">
      <c r="A63" s="54"/>
      <c r="B63" s="55"/>
      <c r="C63" s="81" t="s">
        <v>36</v>
      </c>
      <c r="D63" s="82" t="s">
        <v>19</v>
      </c>
      <c r="E63" s="72">
        <f t="shared" ref="E63:S63" si="18">E15</f>
        <v>0</v>
      </c>
      <c r="F63" s="72">
        <f t="shared" si="18"/>
        <v>1</v>
      </c>
      <c r="G63" s="72">
        <f t="shared" si="18"/>
        <v>2</v>
      </c>
      <c r="H63" s="72">
        <f t="shared" si="18"/>
        <v>3</v>
      </c>
      <c r="I63" s="72">
        <f t="shared" si="18"/>
        <v>4</v>
      </c>
      <c r="J63" s="72">
        <f t="shared" si="18"/>
        <v>5</v>
      </c>
      <c r="K63" s="72">
        <f t="shared" si="18"/>
        <v>6</v>
      </c>
      <c r="L63" s="72">
        <f t="shared" si="18"/>
        <v>7</v>
      </c>
      <c r="M63" s="72">
        <f t="shared" si="18"/>
        <v>8</v>
      </c>
      <c r="N63" s="72">
        <f t="shared" si="18"/>
        <v>9</v>
      </c>
      <c r="O63" s="72">
        <f t="shared" si="18"/>
        <v>10</v>
      </c>
      <c r="P63" s="72">
        <f t="shared" si="18"/>
        <v>11</v>
      </c>
      <c r="Q63" s="72">
        <f t="shared" si="18"/>
        <v>12</v>
      </c>
      <c r="R63" s="72">
        <f t="shared" si="18"/>
        <v>13</v>
      </c>
      <c r="S63" s="72">
        <f t="shared" si="18"/>
        <v>14</v>
      </c>
    </row>
    <row r="64" spans="1:19" s="56" customFormat="1" ht="12.75" customHeight="1">
      <c r="A64" s="54"/>
      <c r="B64" s="55"/>
      <c r="C64" s="81"/>
      <c r="D64" s="74" t="s">
        <v>22</v>
      </c>
      <c r="E64" s="74" t="s">
        <v>23</v>
      </c>
      <c r="F64" s="74" t="s">
        <v>24</v>
      </c>
      <c r="G64" s="74" t="s">
        <v>25</v>
      </c>
      <c r="H64" s="74" t="s">
        <v>26</v>
      </c>
      <c r="I64" s="74" t="s">
        <v>27</v>
      </c>
      <c r="J64" s="74" t="s">
        <v>28</v>
      </c>
      <c r="K64" s="74" t="s">
        <v>29</v>
      </c>
      <c r="L64" s="74" t="s">
        <v>30</v>
      </c>
      <c r="M64" s="74" t="s">
        <v>31</v>
      </c>
      <c r="N64" s="74" t="s">
        <v>32</v>
      </c>
      <c r="O64" s="74" t="s">
        <v>33</v>
      </c>
      <c r="P64" s="74" t="s">
        <v>72</v>
      </c>
      <c r="Q64" s="74" t="s">
        <v>73</v>
      </c>
      <c r="R64" s="74" t="s">
        <v>74</v>
      </c>
      <c r="S64" s="74" t="s">
        <v>75</v>
      </c>
    </row>
    <row r="65" spans="1:19" s="56" customFormat="1" ht="12.75" customHeight="1">
      <c r="A65" s="54"/>
      <c r="B65" s="55"/>
      <c r="C65" s="66" t="s">
        <v>20</v>
      </c>
      <c r="D65" s="74"/>
      <c r="E65" s="74"/>
      <c r="F65" s="74"/>
      <c r="G65" s="74"/>
      <c r="H65" s="74"/>
      <c r="I65" s="74"/>
      <c r="J65" s="74"/>
      <c r="K65" s="74"/>
      <c r="L65" s="74"/>
      <c r="M65" s="74"/>
      <c r="N65" s="74"/>
      <c r="O65" s="74"/>
      <c r="P65" s="74"/>
      <c r="Q65" s="74"/>
      <c r="R65" s="74"/>
      <c r="S65" s="74"/>
    </row>
    <row r="66" spans="1:19" s="56" customFormat="1" ht="12.75" customHeight="1">
      <c r="A66" s="54"/>
      <c r="B66" s="55"/>
      <c r="C66" s="70" t="s">
        <v>61</v>
      </c>
      <c r="D66" s="71"/>
      <c r="E66" s="71"/>
      <c r="F66" s="71"/>
      <c r="G66" s="71"/>
      <c r="H66" s="71"/>
      <c r="I66" s="71"/>
      <c r="J66" s="71"/>
      <c r="K66" s="71"/>
      <c r="L66" s="71"/>
      <c r="M66" s="71"/>
      <c r="N66" s="71"/>
      <c r="O66" s="71"/>
      <c r="P66" s="71"/>
      <c r="Q66" s="71"/>
      <c r="R66" s="71"/>
      <c r="S66" s="71"/>
    </row>
    <row r="67" spans="1:19" s="56" customFormat="1" ht="12.75" customHeight="1">
      <c r="A67" s="54"/>
      <c r="B67" s="55"/>
      <c r="C67" s="57" t="s">
        <v>59</v>
      </c>
      <c r="D67" s="79">
        <f>D55</f>
        <v>0</v>
      </c>
      <c r="E67" s="83">
        <f>E55/(1+$O$11)^1</f>
        <v>0</v>
      </c>
      <c r="F67" s="83">
        <f>F55/(1+$O$11)^2</f>
        <v>0</v>
      </c>
      <c r="G67" s="83">
        <f>G55/(1+$O$11)^3</f>
        <v>0</v>
      </c>
      <c r="H67" s="83">
        <f>H55/(1+$O$11)^4</f>
        <v>0</v>
      </c>
      <c r="I67" s="83">
        <f>I55/(1+$O$11)^5</f>
        <v>0</v>
      </c>
      <c r="J67" s="83">
        <f>J55/(1+$O$11)^6</f>
        <v>0</v>
      </c>
      <c r="K67" s="83">
        <f>K55/(1+$O$11)^7</f>
        <v>0</v>
      </c>
      <c r="L67" s="84">
        <f>L55/(1+$O$11)^8</f>
        <v>0</v>
      </c>
      <c r="M67" s="83">
        <f>M55/(1+$O$11)^9</f>
        <v>0</v>
      </c>
      <c r="N67" s="83">
        <f>N55/(1+$O$11)^10</f>
        <v>0</v>
      </c>
      <c r="O67" s="83">
        <f>O55/(1+$O$11)^11</f>
        <v>0</v>
      </c>
      <c r="P67" s="83">
        <f t="shared" ref="P67:S67" si="19">P55/(1+$O$11)^11</f>
        <v>0</v>
      </c>
      <c r="Q67" s="83">
        <f t="shared" si="19"/>
        <v>0</v>
      </c>
      <c r="R67" s="83">
        <f t="shared" si="19"/>
        <v>0</v>
      </c>
      <c r="S67" s="83">
        <f t="shared" si="19"/>
        <v>0</v>
      </c>
    </row>
    <row r="68" spans="1:19" s="56" customFormat="1" ht="12.75" customHeight="1">
      <c r="A68" s="54"/>
      <c r="B68" s="55"/>
      <c r="C68" s="75" t="s">
        <v>52</v>
      </c>
      <c r="D68" s="79" t="e">
        <f>D67/$E$11</f>
        <v>#DIV/0!</v>
      </c>
      <c r="E68" s="85" t="e">
        <f>E67/$E$11</f>
        <v>#DIV/0!</v>
      </c>
      <c r="F68" s="79" t="e">
        <f t="shared" ref="F68:S68" si="20">F67/$E$11</f>
        <v>#DIV/0!</v>
      </c>
      <c r="G68" s="79" t="e">
        <f t="shared" si="20"/>
        <v>#DIV/0!</v>
      </c>
      <c r="H68" s="79" t="e">
        <f t="shared" si="20"/>
        <v>#DIV/0!</v>
      </c>
      <c r="I68" s="79" t="e">
        <f t="shared" si="20"/>
        <v>#DIV/0!</v>
      </c>
      <c r="J68" s="79" t="e">
        <f t="shared" si="20"/>
        <v>#DIV/0!</v>
      </c>
      <c r="K68" s="79" t="e">
        <f t="shared" si="20"/>
        <v>#DIV/0!</v>
      </c>
      <c r="L68" s="79" t="e">
        <f t="shared" si="20"/>
        <v>#DIV/0!</v>
      </c>
      <c r="M68" s="79" t="e">
        <f t="shared" si="20"/>
        <v>#DIV/0!</v>
      </c>
      <c r="N68" s="79" t="e">
        <f t="shared" si="20"/>
        <v>#DIV/0!</v>
      </c>
      <c r="O68" s="79" t="e">
        <f t="shared" si="20"/>
        <v>#DIV/0!</v>
      </c>
      <c r="P68" s="79" t="e">
        <f t="shared" si="20"/>
        <v>#DIV/0!</v>
      </c>
      <c r="Q68" s="79" t="e">
        <f t="shared" si="20"/>
        <v>#DIV/0!</v>
      </c>
      <c r="R68" s="79" t="e">
        <f t="shared" si="20"/>
        <v>#DIV/0!</v>
      </c>
      <c r="S68" s="79" t="e">
        <f t="shared" si="20"/>
        <v>#DIV/0!</v>
      </c>
    </row>
    <row r="69" spans="1:19" s="56" customFormat="1" ht="12.75" customHeight="1">
      <c r="A69" s="54"/>
      <c r="B69" s="55"/>
      <c r="C69" s="75"/>
      <c r="D69" s="79"/>
      <c r="E69" s="83"/>
      <c r="F69" s="83"/>
      <c r="G69" s="83"/>
      <c r="H69" s="83"/>
      <c r="I69" s="83"/>
      <c r="J69" s="83"/>
      <c r="K69" s="83"/>
      <c r="L69" s="84"/>
      <c r="M69" s="83"/>
      <c r="N69" s="83"/>
      <c r="O69" s="83"/>
      <c r="P69" s="83"/>
      <c r="Q69" s="83"/>
      <c r="R69" s="83"/>
      <c r="S69" s="83"/>
    </row>
    <row r="70" spans="1:19" s="56" customFormat="1" ht="12.75" customHeight="1">
      <c r="A70" s="54"/>
      <c r="B70" s="55"/>
      <c r="C70" s="70" t="s">
        <v>48</v>
      </c>
      <c r="D70" s="80"/>
      <c r="E70" s="31"/>
      <c r="F70" s="31"/>
      <c r="G70" s="31"/>
      <c r="H70" s="71"/>
      <c r="I70" s="71"/>
      <c r="J70" s="71"/>
      <c r="K70" s="71"/>
      <c r="L70" s="71"/>
      <c r="M70" s="71"/>
      <c r="N70" s="71"/>
      <c r="O70" s="71"/>
      <c r="P70" s="71"/>
      <c r="Q70" s="71"/>
      <c r="R70" s="71"/>
      <c r="S70" s="71"/>
    </row>
    <row r="71" spans="1:19" s="56" customFormat="1" ht="12.75" customHeight="1">
      <c r="A71" s="54"/>
      <c r="B71" s="55"/>
      <c r="C71" s="70" t="s">
        <v>69</v>
      </c>
      <c r="D71" s="80"/>
      <c r="E71" s="31"/>
      <c r="F71" s="31"/>
      <c r="G71" s="31"/>
      <c r="H71" s="71"/>
      <c r="I71" s="71"/>
      <c r="J71" s="71"/>
      <c r="K71" s="71"/>
      <c r="L71" s="71"/>
      <c r="M71" s="71"/>
      <c r="N71" s="71"/>
      <c r="O71" s="71"/>
      <c r="P71" s="71"/>
      <c r="Q71" s="71"/>
      <c r="R71" s="71"/>
      <c r="S71" s="71"/>
    </row>
    <row r="72" spans="1:19" s="56" customFormat="1" ht="12.75" customHeight="1">
      <c r="A72" s="54"/>
      <c r="B72" s="55"/>
      <c r="C72" s="57" t="s">
        <v>59</v>
      </c>
      <c r="D72" s="79">
        <f>IF(OR(D67&lt;0,D67&gt;0),D67,0)</f>
        <v>0</v>
      </c>
      <c r="E72" s="37" t="e">
        <f>IF(OR(E67&lt;0,E67&gt;0),D72+E67,NA())</f>
        <v>#N/A</v>
      </c>
      <c r="F72" s="37" t="e">
        <f t="shared" ref="F72:M72" si="21">IF(OR(F67&lt;0,F67&gt;0),E72+F67,NA())</f>
        <v>#N/A</v>
      </c>
      <c r="G72" s="37" t="e">
        <f t="shared" si="21"/>
        <v>#N/A</v>
      </c>
      <c r="H72" s="37" t="e">
        <f t="shared" si="21"/>
        <v>#N/A</v>
      </c>
      <c r="I72" s="37" t="e">
        <f t="shared" si="21"/>
        <v>#N/A</v>
      </c>
      <c r="J72" s="37" t="e">
        <f t="shared" si="21"/>
        <v>#N/A</v>
      </c>
      <c r="K72" s="37" t="e">
        <f t="shared" si="21"/>
        <v>#N/A</v>
      </c>
      <c r="L72" s="37" t="e">
        <f t="shared" si="21"/>
        <v>#N/A</v>
      </c>
      <c r="M72" s="37" t="e">
        <f t="shared" si="21"/>
        <v>#N/A</v>
      </c>
      <c r="N72" s="37" t="e">
        <f>IF(OR(N67&lt;0,N67&gt;0),M72+N67,NA())</f>
        <v>#N/A</v>
      </c>
      <c r="O72" s="37" t="e">
        <f>IF(OR(O67&lt;0,O67&gt;0),N72+O67,NA())</f>
        <v>#N/A</v>
      </c>
      <c r="P72" s="37" t="e">
        <f t="shared" ref="P72:S72" si="22">IF(OR(P67&lt;0,P67&gt;0),O72+P67,NA())</f>
        <v>#N/A</v>
      </c>
      <c r="Q72" s="37" t="e">
        <f t="shared" si="22"/>
        <v>#N/A</v>
      </c>
      <c r="R72" s="37" t="e">
        <f t="shared" si="22"/>
        <v>#N/A</v>
      </c>
      <c r="S72" s="37" t="e">
        <f t="shared" si="22"/>
        <v>#N/A</v>
      </c>
    </row>
    <row r="73" spans="1:19" s="56" customFormat="1" ht="12.75" customHeight="1">
      <c r="A73" s="54"/>
      <c r="B73" s="55"/>
      <c r="C73" s="75" t="s">
        <v>52</v>
      </c>
      <c r="D73" s="79" t="e">
        <f>D72/$E$11</f>
        <v>#DIV/0!</v>
      </c>
      <c r="E73" s="79" t="e">
        <f t="shared" ref="E73:M73" si="23">E72/$E$11</f>
        <v>#N/A</v>
      </c>
      <c r="F73" s="79" t="e">
        <f t="shared" si="23"/>
        <v>#N/A</v>
      </c>
      <c r="G73" s="79" t="e">
        <f t="shared" si="23"/>
        <v>#N/A</v>
      </c>
      <c r="H73" s="79" t="e">
        <f t="shared" si="23"/>
        <v>#N/A</v>
      </c>
      <c r="I73" s="79" t="e">
        <f t="shared" si="23"/>
        <v>#N/A</v>
      </c>
      <c r="J73" s="79" t="e">
        <f t="shared" si="23"/>
        <v>#N/A</v>
      </c>
      <c r="K73" s="79" t="e">
        <f t="shared" si="23"/>
        <v>#N/A</v>
      </c>
      <c r="L73" s="79" t="e">
        <f t="shared" si="23"/>
        <v>#N/A</v>
      </c>
      <c r="M73" s="79" t="e">
        <f t="shared" si="23"/>
        <v>#N/A</v>
      </c>
      <c r="N73" s="85" t="e">
        <f>N72/$E$11</f>
        <v>#N/A</v>
      </c>
      <c r="O73" s="79" t="e">
        <f>O72/$E$11</f>
        <v>#N/A</v>
      </c>
      <c r="P73" s="79" t="e">
        <f t="shared" ref="P73:S73" si="24">P72/$E$11</f>
        <v>#N/A</v>
      </c>
      <c r="Q73" s="79" t="e">
        <f t="shared" si="24"/>
        <v>#N/A</v>
      </c>
      <c r="R73" s="79" t="e">
        <f t="shared" si="24"/>
        <v>#N/A</v>
      </c>
      <c r="S73" s="79" t="e">
        <f t="shared" si="24"/>
        <v>#N/A</v>
      </c>
    </row>
    <row r="74" spans="1:19" s="56" customFormat="1" ht="12.75" customHeight="1">
      <c r="A74" s="54"/>
      <c r="B74" s="55"/>
      <c r="C74" s="66"/>
      <c r="D74" s="79"/>
      <c r="E74" s="37"/>
      <c r="F74" s="37"/>
      <c r="G74" s="37"/>
      <c r="H74" s="37"/>
      <c r="I74" s="37"/>
      <c r="J74" s="37"/>
      <c r="K74" s="37"/>
      <c r="L74" s="37"/>
      <c r="M74" s="37"/>
      <c r="N74" s="37"/>
      <c r="O74" s="37"/>
      <c r="P74" s="37"/>
      <c r="Q74" s="37"/>
      <c r="R74" s="37"/>
      <c r="S74" s="37"/>
    </row>
    <row r="75" spans="1:19" s="56" customFormat="1" ht="12.75" customHeight="1">
      <c r="A75" s="54"/>
      <c r="B75" s="55"/>
      <c r="C75" s="59" t="s">
        <v>60</v>
      </c>
    </row>
    <row r="76" spans="1:19" s="56" customFormat="1" ht="12.75" customHeight="1">
      <c r="A76" s="54"/>
      <c r="B76" s="55"/>
      <c r="C76" s="59"/>
      <c r="E76" s="73">
        <f t="shared" ref="E76:S76" si="25">E15</f>
        <v>0</v>
      </c>
      <c r="F76" s="73">
        <f t="shared" si="25"/>
        <v>1</v>
      </c>
      <c r="G76" s="73">
        <f t="shared" si="25"/>
        <v>2</v>
      </c>
      <c r="H76" s="73">
        <f t="shared" si="25"/>
        <v>3</v>
      </c>
      <c r="I76" s="73">
        <f t="shared" si="25"/>
        <v>4</v>
      </c>
      <c r="J76" s="73">
        <f t="shared" si="25"/>
        <v>5</v>
      </c>
      <c r="K76" s="73">
        <f t="shared" si="25"/>
        <v>6</v>
      </c>
      <c r="L76" s="73">
        <f t="shared" si="25"/>
        <v>7</v>
      </c>
      <c r="M76" s="73">
        <f t="shared" si="25"/>
        <v>8</v>
      </c>
      <c r="N76" s="73">
        <f t="shared" si="25"/>
        <v>9</v>
      </c>
      <c r="O76" s="73">
        <f t="shared" si="25"/>
        <v>10</v>
      </c>
      <c r="P76" s="73">
        <f t="shared" si="25"/>
        <v>11</v>
      </c>
      <c r="Q76" s="73">
        <f t="shared" si="25"/>
        <v>12</v>
      </c>
      <c r="R76" s="73">
        <f t="shared" si="25"/>
        <v>13</v>
      </c>
      <c r="S76" s="73">
        <f t="shared" si="25"/>
        <v>14</v>
      </c>
    </row>
    <row r="77" spans="1:19" s="56" customFormat="1" ht="12.75" customHeight="1">
      <c r="A77" s="54"/>
      <c r="B77" s="55"/>
      <c r="C77" s="70" t="s">
        <v>77</v>
      </c>
      <c r="D77" s="66"/>
      <c r="E77" s="27" t="str">
        <f>IF(E18="Yes",E78*$E$11,"")</f>
        <v/>
      </c>
      <c r="F77" s="27" t="str">
        <f t="shared" ref="F77:S77" si="26">IF(F18="Yes",F78*$E$11,"")</f>
        <v/>
      </c>
      <c r="G77" s="27" t="str">
        <f t="shared" si="26"/>
        <v/>
      </c>
      <c r="H77" s="27" t="str">
        <f t="shared" si="26"/>
        <v/>
      </c>
      <c r="I77" s="27" t="str">
        <f t="shared" si="26"/>
        <v/>
      </c>
      <c r="J77" s="27" t="str">
        <f t="shared" si="26"/>
        <v/>
      </c>
      <c r="K77" s="27" t="str">
        <f t="shared" si="26"/>
        <v/>
      </c>
      <c r="L77" s="27" t="str">
        <f t="shared" si="26"/>
        <v/>
      </c>
      <c r="M77" s="27" t="str">
        <f t="shared" si="26"/>
        <v/>
      </c>
      <c r="N77" s="27" t="str">
        <f t="shared" si="26"/>
        <v/>
      </c>
      <c r="O77" s="27" t="str">
        <f t="shared" si="26"/>
        <v/>
      </c>
      <c r="P77" s="27" t="str">
        <f t="shared" si="26"/>
        <v/>
      </c>
      <c r="Q77" s="27" t="str">
        <f t="shared" si="26"/>
        <v/>
      </c>
      <c r="R77" s="27" t="str">
        <f t="shared" si="26"/>
        <v/>
      </c>
      <c r="S77" s="27" t="str">
        <f t="shared" si="26"/>
        <v/>
      </c>
    </row>
    <row r="78" spans="1:19" s="56" customFormat="1" ht="12.75" customHeight="1">
      <c r="A78" s="54"/>
      <c r="B78" s="55"/>
      <c r="C78" s="70" t="s">
        <v>78</v>
      </c>
      <c r="D78" s="66"/>
      <c r="E78" s="27" t="str">
        <f>IF(E18="Yes",(SUM($E67:E67)/$E$11)+(E52/$E$11)*$O$11,"")</f>
        <v/>
      </c>
      <c r="F78" s="27" t="str">
        <f>IF(F18="Yes",(SUM($E67:F67)/$E$11)+(F52/$E$11)*$O$11,"")</f>
        <v/>
      </c>
      <c r="G78" s="27" t="str">
        <f>IF(G18="Yes",(SUM($E67:G67)/$E$11)+(G52/$E$11)*$O$11,"")</f>
        <v/>
      </c>
      <c r="H78" s="27" t="str">
        <f>IF(H18="Yes",(SUM($E67:H67)/$E$11)+(H52/$E$11)*$O$11,"")</f>
        <v/>
      </c>
      <c r="I78" s="27" t="str">
        <f>IF(I18="Yes",(SUM($E67:I67)/$E$11)+(I52/$E$11)*$O$11,"")</f>
        <v/>
      </c>
      <c r="J78" s="27" t="str">
        <f>IF(J18="Yes",(SUM($E67:J67)/$E$11)+(J52/$E$11)*$O$11,"")</f>
        <v/>
      </c>
      <c r="K78" s="27" t="str">
        <f>IF(K18="Yes",(SUM($E67:K67)/$E$11)+(K52/$E$11)*$O$11,"")</f>
        <v/>
      </c>
      <c r="L78" s="27" t="str">
        <f>IF(L18="Yes",(SUM($E67:L67)/$E$11)+(L52/$E$11)*$O$11,"")</f>
        <v/>
      </c>
      <c r="M78" s="27" t="str">
        <f>IF(M18="Yes",(SUM($E67:M67)/$E$11)+(M52/$E$11)*$O$11,"")</f>
        <v/>
      </c>
      <c r="N78" s="27" t="str">
        <f>IF(N18="Yes",(SUM($E67:N67)/$E$11)+(N52/$E$11)*$O$11,"")</f>
        <v/>
      </c>
      <c r="O78" s="27" t="str">
        <f>IF(O18="Yes",(SUM($E67:O67)/$E$11)+(O52/$E$11)*$O$11,"")</f>
        <v/>
      </c>
      <c r="P78" s="27" t="str">
        <f>IF(P18="Yes",(SUM($E67:P67)/$E$11)+(P52/$E$11)*$O$11,"")</f>
        <v/>
      </c>
      <c r="Q78" s="27" t="str">
        <f>IF(Q18="Yes",(SUM($E67:Q67)/$E$11)+(Q52/$E$11)*$O$11,"")</f>
        <v/>
      </c>
      <c r="R78" s="27" t="str">
        <f>IF(R18="Yes",(SUM($E67:R67)/$E$11)+(R52/$E$11)*$O$11,"")</f>
        <v/>
      </c>
      <c r="S78" s="27" t="str">
        <f>IF(S18="Yes",(SUM($E67:S67)/$E$11)+(S52/$E$11)*$O$11,"")</f>
        <v/>
      </c>
    </row>
    <row r="79" spans="1:19" s="56" customFormat="1" ht="12.75" customHeight="1">
      <c r="A79" s="54"/>
      <c r="B79" s="55"/>
      <c r="C79" s="70"/>
      <c r="D79" s="66"/>
      <c r="E79" s="34"/>
      <c r="F79" s="34"/>
      <c r="G79" s="34"/>
      <c r="H79" s="34"/>
      <c r="I79" s="34"/>
      <c r="J79" s="34"/>
      <c r="K79" s="34"/>
      <c r="L79" s="34"/>
      <c r="M79" s="34"/>
      <c r="N79" s="34"/>
      <c r="O79" s="34"/>
    </row>
    <row r="80" spans="1:19" s="56" customFormat="1" ht="12.75" customHeight="1">
      <c r="A80" s="54"/>
      <c r="B80" s="55"/>
      <c r="C80" s="81" t="s">
        <v>40</v>
      </c>
      <c r="D80" s="66"/>
      <c r="E80" s="8"/>
      <c r="F80" s="8"/>
      <c r="G80" s="8"/>
    </row>
    <row r="81" spans="1:18" s="56" customFormat="1" ht="12.75" customHeight="1">
      <c r="A81" s="54"/>
      <c r="B81" s="55"/>
      <c r="C81" s="81"/>
      <c r="D81" s="66"/>
      <c r="E81" s="8"/>
      <c r="F81" s="8"/>
      <c r="G81" s="8"/>
    </row>
    <row r="82" spans="1:18" s="88" customFormat="1" ht="12.75" customHeight="1">
      <c r="A82" s="86"/>
      <c r="B82" s="87"/>
      <c r="C82" s="88" t="s">
        <v>41</v>
      </c>
      <c r="I82" s="88" t="s">
        <v>42</v>
      </c>
    </row>
    <row r="83" spans="1:18" s="56" customFormat="1" ht="12.75" customHeight="1">
      <c r="A83" s="54"/>
      <c r="B83" s="55"/>
      <c r="F83" s="73" t="s">
        <v>59</v>
      </c>
      <c r="G83" s="73" t="s">
        <v>52</v>
      </c>
      <c r="N83" s="73" t="s">
        <v>59</v>
      </c>
      <c r="O83" s="73" t="s">
        <v>52</v>
      </c>
    </row>
    <row r="84" spans="1:18" s="56" customFormat="1" ht="12.75" customHeight="1">
      <c r="A84" s="54"/>
      <c r="B84" s="55"/>
      <c r="C84" s="119" t="s">
        <v>62</v>
      </c>
      <c r="D84" s="119"/>
      <c r="E84" s="119"/>
      <c r="F84" s="89" t="e">
        <f>SUM(E55:S55)/O10</f>
        <v>#DIV/0!</v>
      </c>
      <c r="G84" s="90" t="e">
        <f>SUM(E56:S56)/O10</f>
        <v>#DIV/0!</v>
      </c>
      <c r="I84" s="119" t="s">
        <v>64</v>
      </c>
      <c r="J84" s="119"/>
      <c r="K84" s="119"/>
      <c r="L84" s="119"/>
      <c r="M84" s="119"/>
      <c r="N84" s="91" t="e">
        <f>SUM(E67:S67)/O10</f>
        <v>#DIV/0!</v>
      </c>
      <c r="O84" s="92" t="e">
        <f>SUM(E68:S68)/O10</f>
        <v>#DIV/0!</v>
      </c>
      <c r="Q84" s="68"/>
      <c r="R84" s="93"/>
    </row>
    <row r="85" spans="1:18" s="56" customFormat="1" ht="12.75" customHeight="1">
      <c r="A85" s="54"/>
      <c r="B85" s="55"/>
      <c r="C85" s="94"/>
      <c r="D85" s="94"/>
      <c r="E85" s="94"/>
      <c r="F85" s="95"/>
      <c r="G85" s="88"/>
      <c r="I85" s="96"/>
      <c r="J85" s="97"/>
      <c r="K85" s="97"/>
      <c r="L85" s="25"/>
      <c r="N85" s="98"/>
      <c r="O85" s="94"/>
      <c r="Q85" s="68"/>
    </row>
    <row r="86" spans="1:18" s="56" customFormat="1" ht="12.75" customHeight="1">
      <c r="A86" s="54"/>
      <c r="B86" s="55"/>
      <c r="C86" s="119" t="s">
        <v>66</v>
      </c>
      <c r="D86" s="119"/>
      <c r="E86" s="119"/>
      <c r="F86" s="120" t="e">
        <f>IRR(D56:S56)</f>
        <v>#VALUE!</v>
      </c>
      <c r="G86" s="120"/>
      <c r="I86" s="119" t="s">
        <v>65</v>
      </c>
      <c r="J86" s="119"/>
      <c r="K86" s="119"/>
      <c r="L86" s="119"/>
      <c r="M86" s="119"/>
      <c r="N86" s="99">
        <f>NPV(O11,E55:S55)+D55</f>
        <v>0</v>
      </c>
      <c r="O86" s="100" t="e">
        <f>N86/$E$11</f>
        <v>#DIV/0!</v>
      </c>
      <c r="Q86" s="58"/>
    </row>
    <row r="87" spans="1:18" s="56" customFormat="1" ht="12.75" customHeight="1">
      <c r="A87" s="54"/>
      <c r="B87" s="55"/>
      <c r="C87" s="94"/>
      <c r="D87" s="94"/>
      <c r="E87" s="94"/>
      <c r="G87" s="95"/>
      <c r="I87" s="88"/>
      <c r="J87" s="88"/>
      <c r="K87" s="88"/>
      <c r="L87" s="88"/>
      <c r="M87" s="88"/>
    </row>
    <row r="88" spans="1:18" s="56" customFormat="1" ht="12.75" customHeight="1">
      <c r="A88" s="54"/>
      <c r="B88" s="55"/>
      <c r="C88" s="119" t="s">
        <v>67</v>
      </c>
      <c r="D88" s="119"/>
      <c r="E88" s="119"/>
      <c r="F88" s="121" t="str">
        <f>IF(SUM($D$55:$E$55)&gt;0,1,IF(SUM($D$55:$F$55)&gt;0,2,IF(SUM($D$55:$G$55)&gt;0,3,IF(SUM($D$55:$H$55)&gt;0,4,IF(SUM($D$55:$I$55)&gt;0,5,IF(SUM($D$55:$J$55)&gt;0,6,IF(SUM($D$55:$K$55)&gt;0,7,IF(SUM($D$55:$L$55)&gt;0,8,IF(SUM($D$55:$M$55)&gt;0,9,IF(SUM($D$55:$N$55)&gt;0,10,IF(SUM($D$55:$O$55)&gt;0,11,IF(SUM($D$55:$P$55)&gt;0,12,IF(SUM($D$55:$Q$55)&gt;0,13,IF(SUM($D$55:$R$55)&gt;0,14,IF(SUM($D$55:$S$55)&gt;0,15,"&gt;15")))))))))))))))</f>
        <v>&gt;15</v>
      </c>
      <c r="G88" s="121"/>
      <c r="I88" s="88"/>
      <c r="J88" s="88"/>
      <c r="K88" s="88"/>
      <c r="L88" s="88"/>
      <c r="M88" s="88"/>
    </row>
    <row r="89" spans="1:18" s="56" customFormat="1" ht="12.75" customHeight="1">
      <c r="A89" s="54"/>
      <c r="B89" s="55"/>
      <c r="C89" s="94"/>
      <c r="D89" s="94"/>
      <c r="E89" s="94"/>
      <c r="G89" s="95"/>
      <c r="I89" s="88"/>
      <c r="J89" s="88"/>
      <c r="K89" s="88"/>
      <c r="L89" s="88"/>
      <c r="M89" s="88"/>
      <c r="R89" s="101"/>
    </row>
    <row r="90" spans="1:18" s="56" customFormat="1" ht="12.75" customHeight="1">
      <c r="A90" s="54"/>
      <c r="B90" s="55"/>
      <c r="C90" s="119" t="s">
        <v>68</v>
      </c>
      <c r="D90" s="119"/>
      <c r="E90" s="119"/>
      <c r="F90" s="121" t="str">
        <f>IF(SUM($D$55:$E$55)&gt;0,E63,IF(SUM($D$55:$F$55)&gt;0,F63,IF(SUM($D$55:$G$55)&gt;0,G63,IF(SUM($D$55:$H$55)&gt;0,H63,IF(SUM($D$55:$I$55)&gt;0,I63,IF(SUM($D$55:$J$55)&gt;0,J63,IF(SUM($D$55:$K$55)&gt;0,K63,IF(SUM($D$55:$L$55)&gt;0,L63,IF(SUM($D$55:$M$55)&gt;0,M63,IF(SUM($D$55:$N$55)&gt;0,N63,IF(SUM($D$55:$O$55)&gt;0,O63,IF(SUM($D$55:$P$55)&gt;0,P63,IF(SUM($D$55:$Q$55)&gt;0,Q63,IF(SUM($D$55:$R$55)&gt;0,R63,IF(SUM($D$55:$S$55)&gt;0,S63,"&gt;"&amp;S63)))))))))))))))</f>
        <v>&gt;14</v>
      </c>
      <c r="G90" s="121"/>
      <c r="I90" s="88"/>
      <c r="J90" s="88"/>
      <c r="K90" s="88"/>
      <c r="L90" s="88"/>
      <c r="M90" s="88"/>
      <c r="R90" s="75"/>
    </row>
    <row r="91" spans="1:18" s="56" customFormat="1" ht="12.75" customHeight="1">
      <c r="A91" s="54"/>
      <c r="B91" s="55"/>
      <c r="F91" s="8"/>
      <c r="G91" s="8"/>
      <c r="H91" s="88"/>
      <c r="I91" s="88"/>
      <c r="J91" s="88"/>
      <c r="K91" s="88"/>
      <c r="L91" s="88"/>
      <c r="M91" s="88"/>
    </row>
    <row r="92" spans="1:18" s="56" customFormat="1" ht="12.75" customHeight="1">
      <c r="A92" s="54"/>
      <c r="B92" s="55"/>
      <c r="H92" s="88"/>
      <c r="I92" s="88"/>
      <c r="J92" s="88"/>
      <c r="K92" s="88"/>
      <c r="L92" s="88"/>
      <c r="M92" s="88"/>
    </row>
    <row r="93" spans="1:18" s="56" customFormat="1" ht="12.75" customHeight="1">
      <c r="A93" s="54"/>
      <c r="B93" s="55"/>
      <c r="H93" s="88"/>
      <c r="I93" s="88"/>
      <c r="J93" s="88"/>
      <c r="K93" s="88"/>
      <c r="L93" s="88"/>
      <c r="M93" s="88"/>
    </row>
    <row r="94" spans="1:18" s="56" customFormat="1" ht="12.75" customHeight="1">
      <c r="A94" s="54"/>
      <c r="B94" s="55"/>
      <c r="H94" s="88"/>
      <c r="I94" s="88"/>
      <c r="J94" s="88"/>
      <c r="K94" s="88"/>
      <c r="L94" s="88"/>
      <c r="M94" s="88"/>
    </row>
    <row r="95" spans="1:18" s="56" customFormat="1" ht="12.75" customHeight="1">
      <c r="A95" s="54"/>
      <c r="B95" s="55"/>
      <c r="H95" s="88"/>
      <c r="I95" s="88"/>
      <c r="J95" s="88"/>
      <c r="K95" s="88"/>
      <c r="L95" s="88"/>
      <c r="M95" s="88"/>
    </row>
    <row r="96" spans="1:18" s="56" customFormat="1" ht="12.75" customHeight="1">
      <c r="A96" s="54"/>
      <c r="B96" s="55"/>
      <c r="H96" s="88"/>
      <c r="I96" s="88"/>
      <c r="J96" s="88"/>
      <c r="K96" s="88"/>
      <c r="L96" s="88"/>
      <c r="M96" s="88"/>
    </row>
    <row r="97" spans="1:13" s="56" customFormat="1" ht="12.75" customHeight="1">
      <c r="A97" s="54"/>
      <c r="B97" s="55"/>
      <c r="H97" s="88"/>
      <c r="I97" s="88"/>
      <c r="J97" s="88"/>
      <c r="K97" s="88"/>
      <c r="L97" s="88"/>
      <c r="M97" s="88"/>
    </row>
    <row r="98" spans="1:13" s="56" customFormat="1" ht="12.75" customHeight="1">
      <c r="A98" s="54"/>
      <c r="B98" s="55"/>
      <c r="H98" s="88"/>
      <c r="I98" s="88"/>
      <c r="J98" s="88"/>
      <c r="K98" s="88"/>
      <c r="L98" s="88"/>
      <c r="M98" s="88"/>
    </row>
    <row r="99" spans="1:13" s="56" customFormat="1" ht="12.75" customHeight="1">
      <c r="A99" s="54"/>
      <c r="B99" s="55"/>
      <c r="H99" s="88"/>
      <c r="I99" s="88"/>
      <c r="J99" s="88"/>
      <c r="K99" s="88"/>
      <c r="L99" s="88"/>
      <c r="M99" s="88"/>
    </row>
    <row r="100" spans="1:13" s="56" customFormat="1" ht="12.75" customHeight="1">
      <c r="A100" s="54"/>
      <c r="B100" s="55"/>
      <c r="H100" s="88"/>
      <c r="I100" s="88"/>
      <c r="J100" s="88"/>
      <c r="K100" s="88"/>
      <c r="L100" s="88"/>
      <c r="M100" s="88"/>
    </row>
    <row r="101" spans="1:13" s="56" customFormat="1" ht="12.75" customHeight="1">
      <c r="A101" s="54"/>
      <c r="B101" s="55"/>
      <c r="H101" s="88"/>
      <c r="I101" s="88"/>
      <c r="J101" s="88"/>
      <c r="K101" s="88"/>
      <c r="L101" s="88"/>
      <c r="M101" s="88"/>
    </row>
    <row r="102" spans="1:13" s="56" customFormat="1" ht="12.75" customHeight="1">
      <c r="A102" s="54"/>
      <c r="B102" s="55"/>
      <c r="H102" s="88"/>
      <c r="I102" s="88"/>
      <c r="J102" s="88"/>
      <c r="K102" s="88"/>
      <c r="L102" s="88"/>
      <c r="M102" s="88"/>
    </row>
    <row r="103" spans="1:13" s="56" customFormat="1" ht="12.75" customHeight="1">
      <c r="A103" s="54"/>
      <c r="B103" s="55"/>
      <c r="H103" s="88"/>
      <c r="I103" s="88"/>
      <c r="J103" s="88"/>
      <c r="K103" s="88"/>
      <c r="L103" s="88"/>
      <c r="M103" s="88"/>
    </row>
    <row r="104" spans="1:13" s="56" customFormat="1" ht="12.75" customHeight="1">
      <c r="A104" s="54"/>
      <c r="B104" s="55"/>
      <c r="H104" s="88"/>
      <c r="I104" s="88"/>
      <c r="J104" s="88"/>
      <c r="K104" s="88"/>
      <c r="L104" s="88"/>
      <c r="M104" s="88"/>
    </row>
    <row r="105" spans="1:13" s="101" customFormat="1" ht="12.75" customHeight="1">
      <c r="A105" s="102"/>
      <c r="B105" s="103"/>
    </row>
    <row r="106" spans="1:13" s="101" customFormat="1" ht="12.75" customHeight="1">
      <c r="A106" s="102"/>
      <c r="B106" s="103"/>
    </row>
    <row r="107" spans="1:13" s="101" customFormat="1" ht="12.75" customHeight="1">
      <c r="A107" s="102"/>
      <c r="B107" s="103"/>
    </row>
    <row r="108" spans="1:13" s="101" customFormat="1" ht="12.75" customHeight="1">
      <c r="A108" s="102"/>
      <c r="B108" s="103"/>
      <c r="F108" s="6"/>
      <c r="G108" s="7"/>
    </row>
    <row r="109" spans="1:13" s="101" customFormat="1" ht="12.75" customHeight="1">
      <c r="A109" s="102"/>
      <c r="B109" s="103"/>
      <c r="F109" s="112"/>
      <c r="G109" s="112"/>
    </row>
    <row r="110" spans="1:13" s="101" customFormat="1" ht="12.75" customHeight="1">
      <c r="A110" s="102"/>
      <c r="B110" s="103"/>
      <c r="F110" s="112"/>
      <c r="G110" s="112"/>
    </row>
    <row r="111" spans="1:13" s="101" customFormat="1" ht="12.75" customHeight="1">
      <c r="A111" s="102"/>
      <c r="B111" s="103"/>
      <c r="F111" s="112"/>
      <c r="G111" s="112"/>
    </row>
    <row r="112" spans="1:13" s="101" customFormat="1" ht="12.75" customHeight="1">
      <c r="A112" s="102"/>
      <c r="B112" s="103"/>
      <c r="F112" s="1"/>
      <c r="G112" s="1"/>
    </row>
    <row r="113" spans="1:13" s="101" customFormat="1" ht="12.75" customHeight="1">
      <c r="A113" s="102"/>
      <c r="B113" s="103"/>
      <c r="F113" s="1"/>
      <c r="G113" s="1"/>
    </row>
    <row r="114" spans="1:13" s="101" customFormat="1" ht="12.75" customHeight="1">
      <c r="A114" s="102"/>
      <c r="B114" s="103"/>
      <c r="F114" s="1"/>
      <c r="G114" s="1"/>
    </row>
    <row r="115" spans="1:13" s="53" customFormat="1" ht="12.75" customHeight="1">
      <c r="A115" s="51"/>
      <c r="B115" s="52"/>
      <c r="C115" s="104"/>
      <c r="D115" s="104"/>
      <c r="E115" s="104"/>
      <c r="F115" s="1"/>
      <c r="G115" s="1"/>
      <c r="H115" s="101"/>
      <c r="I115" s="105"/>
      <c r="J115" s="105"/>
      <c r="K115" s="105"/>
      <c r="L115" s="105"/>
      <c r="M115" s="105"/>
    </row>
    <row r="116" spans="1:13" ht="12.75" customHeight="1">
      <c r="H116" s="105"/>
      <c r="I116" s="108"/>
      <c r="J116" s="101"/>
      <c r="K116" s="101"/>
      <c r="L116" s="109"/>
      <c r="M116" s="105"/>
    </row>
    <row r="117" spans="1:13" ht="12.75" customHeight="1">
      <c r="H117" s="105"/>
      <c r="I117" s="108"/>
      <c r="J117" s="101"/>
      <c r="K117" s="101"/>
      <c r="L117" s="109"/>
      <c r="M117" s="105"/>
    </row>
    <row r="118" spans="1:13" ht="12.75" customHeight="1">
      <c r="H118" s="105"/>
      <c r="I118" s="108"/>
      <c r="J118" s="101"/>
      <c r="K118" s="101"/>
      <c r="L118" s="109"/>
      <c r="M118" s="105"/>
    </row>
    <row r="119" spans="1:13" ht="12.75" customHeight="1">
      <c r="H119" s="105"/>
      <c r="I119" s="108"/>
      <c r="J119" s="101"/>
      <c r="K119" s="101"/>
      <c r="L119" s="109"/>
      <c r="M119" s="105"/>
    </row>
    <row r="120" spans="1:13" ht="12.75" customHeight="1">
      <c r="H120" s="105"/>
      <c r="I120" s="108"/>
      <c r="J120" s="101"/>
      <c r="K120" s="101"/>
      <c r="L120" s="109"/>
      <c r="M120" s="105"/>
    </row>
    <row r="121" spans="1:13" ht="12.75" customHeight="1">
      <c r="H121" s="105"/>
      <c r="I121" s="108"/>
      <c r="J121" s="101"/>
      <c r="K121" s="101"/>
      <c r="L121" s="109"/>
      <c r="M121" s="105"/>
    </row>
    <row r="122" spans="1:13" ht="12.75" customHeight="1">
      <c r="H122" s="105"/>
      <c r="I122" s="108"/>
      <c r="J122" s="101"/>
      <c r="K122" s="101"/>
      <c r="L122" s="109"/>
      <c r="M122" s="105"/>
    </row>
    <row r="123" spans="1:13" ht="12.75" customHeight="1">
      <c r="H123" s="105"/>
      <c r="I123" s="108"/>
      <c r="J123" s="101"/>
      <c r="K123" s="101"/>
      <c r="L123" s="109"/>
      <c r="M123" s="105"/>
    </row>
    <row r="124" spans="1:13" ht="12.75" customHeight="1">
      <c r="H124" s="105"/>
      <c r="I124" s="108"/>
      <c r="J124" s="101"/>
      <c r="K124" s="101"/>
      <c r="L124" s="109"/>
      <c r="M124" s="105"/>
    </row>
    <row r="125" spans="1:13" ht="12.75" customHeight="1">
      <c r="H125" s="105"/>
      <c r="I125" s="108"/>
      <c r="J125" s="101"/>
      <c r="K125" s="101"/>
      <c r="L125" s="109"/>
      <c r="M125" s="105"/>
    </row>
    <row r="126" spans="1:13" ht="12.75" customHeight="1">
      <c r="H126" s="105"/>
      <c r="I126" s="108"/>
      <c r="J126" s="101"/>
      <c r="K126" s="101"/>
      <c r="L126" s="109"/>
      <c r="M126" s="105"/>
    </row>
    <row r="127" spans="1:13" ht="12.75" customHeight="1">
      <c r="H127" s="105"/>
      <c r="I127" s="108"/>
      <c r="J127" s="101"/>
      <c r="K127" s="101"/>
      <c r="L127" s="109"/>
      <c r="M127" s="105"/>
    </row>
    <row r="128" spans="1:13" ht="12.75" customHeight="1">
      <c r="H128" s="105"/>
      <c r="I128" s="108"/>
      <c r="J128" s="101"/>
      <c r="K128" s="101"/>
      <c r="L128" s="109"/>
      <c r="M128" s="105"/>
    </row>
    <row r="129" spans="1:13" ht="12.75" customHeight="1">
      <c r="H129" s="105"/>
      <c r="I129" s="108"/>
      <c r="J129" s="101"/>
      <c r="K129" s="101"/>
      <c r="L129" s="109"/>
      <c r="M129" s="105"/>
    </row>
    <row r="130" spans="1:13" ht="12.75" customHeight="1">
      <c r="H130" s="105"/>
      <c r="I130" s="108"/>
      <c r="J130" s="101"/>
      <c r="K130" s="101"/>
      <c r="L130" s="109"/>
      <c r="M130" s="105"/>
    </row>
    <row r="131" spans="1:13" ht="12.75" customHeight="1">
      <c r="H131" s="105"/>
      <c r="I131" s="108"/>
      <c r="J131" s="101"/>
      <c r="K131" s="101"/>
      <c r="L131" s="109"/>
      <c r="M131" s="105"/>
    </row>
    <row r="132" spans="1:13" ht="12.75" customHeight="1">
      <c r="H132" s="105"/>
      <c r="I132" s="108"/>
      <c r="J132" s="101"/>
      <c r="K132" s="101"/>
      <c r="L132" s="109"/>
      <c r="M132" s="105"/>
    </row>
    <row r="133" spans="1:13" ht="12.75" customHeight="1">
      <c r="H133" s="105"/>
      <c r="I133" s="108"/>
      <c r="J133" s="101"/>
      <c r="K133" s="101"/>
      <c r="L133" s="109"/>
      <c r="M133" s="105"/>
    </row>
    <row r="134" spans="1:13" ht="12.75" customHeight="1">
      <c r="H134" s="105"/>
      <c r="I134" s="108"/>
      <c r="J134" s="101"/>
      <c r="K134" s="101"/>
      <c r="L134" s="109"/>
      <c r="M134" s="105"/>
    </row>
    <row r="135" spans="1:13" ht="12.75" customHeight="1">
      <c r="H135" s="105"/>
      <c r="I135" s="108"/>
      <c r="J135" s="101"/>
      <c r="K135" s="101"/>
      <c r="L135" s="109"/>
      <c r="M135" s="105"/>
    </row>
    <row r="136" spans="1:13" ht="12.75" customHeight="1">
      <c r="H136" s="105"/>
      <c r="I136" s="108"/>
      <c r="J136" s="101"/>
      <c r="K136" s="101"/>
      <c r="L136" s="109"/>
      <c r="M136" s="105"/>
    </row>
    <row r="137" spans="1:13" ht="12.75" customHeight="1">
      <c r="H137" s="105"/>
      <c r="I137" s="108"/>
      <c r="J137" s="101"/>
      <c r="K137" s="101"/>
      <c r="L137" s="109"/>
      <c r="M137" s="105"/>
    </row>
    <row r="138" spans="1:13" ht="12.75" customHeight="1">
      <c r="H138" s="105"/>
      <c r="I138" s="108"/>
      <c r="J138" s="101"/>
      <c r="K138" s="101"/>
      <c r="L138" s="109"/>
      <c r="M138" s="105"/>
    </row>
    <row r="139" spans="1:13" ht="12.75" customHeight="1">
      <c r="H139" s="105"/>
      <c r="I139" s="108"/>
      <c r="J139" s="101"/>
      <c r="K139" s="101"/>
      <c r="L139" s="109"/>
      <c r="M139" s="105"/>
    </row>
    <row r="140" spans="1:13" ht="12.75" customHeight="1">
      <c r="H140" s="105"/>
      <c r="I140" s="108"/>
      <c r="J140" s="101"/>
      <c r="K140" s="101"/>
      <c r="L140" s="109"/>
      <c r="M140" s="105"/>
    </row>
    <row r="141" spans="1:13" ht="12.75" customHeight="1">
      <c r="H141" s="105"/>
      <c r="I141" s="108"/>
      <c r="J141" s="101"/>
      <c r="K141" s="101"/>
      <c r="L141" s="109"/>
      <c r="M141" s="105"/>
    </row>
    <row r="142" spans="1:13" ht="12.75" customHeight="1">
      <c r="H142" s="105"/>
      <c r="I142" s="108"/>
      <c r="J142" s="101"/>
      <c r="K142" s="101"/>
      <c r="L142" s="109"/>
      <c r="M142" s="105"/>
    </row>
    <row r="143" spans="1:13" ht="12.75" customHeight="1">
      <c r="H143" s="105"/>
      <c r="I143" s="108"/>
      <c r="J143" s="101"/>
      <c r="K143" s="101"/>
      <c r="L143" s="109"/>
      <c r="M143" s="105"/>
    </row>
    <row r="144" spans="1:13" s="101" customFormat="1" ht="12.75" customHeight="1">
      <c r="A144" s="102"/>
      <c r="B144" s="103"/>
      <c r="C144" s="10" t="s">
        <v>81</v>
      </c>
      <c r="D144" s="10"/>
      <c r="E144" s="10"/>
      <c r="F144" s="11"/>
      <c r="G144" s="11"/>
      <c r="H144" s="17"/>
      <c r="I144" s="105"/>
      <c r="J144" s="105"/>
      <c r="K144" s="105"/>
      <c r="L144" s="105"/>
    </row>
    <row r="145" spans="1:12" s="101" customFormat="1" ht="12.75" customHeight="1">
      <c r="A145" s="102"/>
      <c r="B145" s="103"/>
      <c r="C145" s="26" t="s">
        <v>37</v>
      </c>
      <c r="D145" s="18"/>
      <c r="E145" s="4"/>
      <c r="F145" s="3"/>
      <c r="G145" s="3"/>
      <c r="H145" s="3"/>
      <c r="I145" s="105"/>
      <c r="J145" s="105"/>
      <c r="K145" s="105"/>
      <c r="L145" s="105"/>
    </row>
    <row r="146" spans="1:12" s="101" customFormat="1" ht="12.75" customHeight="1">
      <c r="A146" s="102"/>
      <c r="B146" s="103"/>
      <c r="C146" s="19" t="s">
        <v>38</v>
      </c>
      <c r="D146" s="19"/>
      <c r="E146" s="19"/>
      <c r="F146" s="3"/>
      <c r="G146" s="3"/>
      <c r="H146" s="3"/>
      <c r="I146" s="105"/>
      <c r="J146" s="105"/>
      <c r="K146" s="105"/>
      <c r="L146" s="105"/>
    </row>
    <row r="147" spans="1:12" s="101" customFormat="1" ht="12.75" customHeight="1">
      <c r="A147" s="102"/>
      <c r="B147" s="103"/>
      <c r="C147" s="5">
        <f ca="1">NOW()</f>
        <v>42773.64651608796</v>
      </c>
      <c r="D147" s="5"/>
      <c r="E147" s="5"/>
      <c r="F147" s="3"/>
      <c r="G147" s="3"/>
      <c r="H147" s="3"/>
      <c r="I147" s="105"/>
      <c r="J147" s="105"/>
      <c r="K147" s="105"/>
      <c r="L147" s="105"/>
    </row>
    <row r="148" spans="1:12" s="101" customFormat="1" ht="12.75" customHeight="1">
      <c r="A148" s="102"/>
      <c r="B148" s="103"/>
      <c r="C148" s="5"/>
      <c r="D148" s="5"/>
      <c r="E148" s="5"/>
      <c r="F148" s="3"/>
      <c r="G148" s="3"/>
      <c r="H148" s="3"/>
      <c r="I148" s="105"/>
      <c r="J148" s="105"/>
      <c r="K148" s="105"/>
      <c r="L148" s="105"/>
    </row>
    <row r="149" spans="1:12" s="101" customFormat="1" ht="12.75" customHeight="1">
      <c r="A149" s="102"/>
      <c r="B149" s="103"/>
      <c r="C149" s="6" t="s">
        <v>39</v>
      </c>
      <c r="D149" s="6"/>
      <c r="E149" s="6"/>
      <c r="F149" s="7"/>
      <c r="G149" s="7"/>
      <c r="H149" s="7"/>
      <c r="I149" s="105"/>
      <c r="J149" s="105"/>
      <c r="K149" s="105"/>
      <c r="L149" s="105"/>
    </row>
    <row r="150" spans="1:12" s="101" customFormat="1" ht="12.75" customHeight="1">
      <c r="A150" s="102"/>
      <c r="B150" s="103"/>
      <c r="C150" s="114" t="s">
        <v>80</v>
      </c>
      <c r="D150" s="114"/>
      <c r="E150" s="114"/>
      <c r="F150" s="114"/>
      <c r="G150" s="114"/>
      <c r="H150" s="114"/>
      <c r="I150" s="114"/>
      <c r="J150" s="114"/>
      <c r="K150" s="114"/>
      <c r="L150" s="114"/>
    </row>
    <row r="151" spans="1:12" s="101" customFormat="1" ht="12.75" customHeight="1">
      <c r="A151" s="102"/>
      <c r="B151" s="103"/>
      <c r="C151" s="114"/>
      <c r="D151" s="114"/>
      <c r="E151" s="114"/>
      <c r="F151" s="114"/>
      <c r="G151" s="114"/>
      <c r="H151" s="114"/>
      <c r="I151" s="114"/>
      <c r="J151" s="114"/>
      <c r="K151" s="114"/>
      <c r="L151" s="114"/>
    </row>
    <row r="152" spans="1:12" s="101" customFormat="1" ht="18" customHeight="1">
      <c r="A152" s="102"/>
      <c r="B152" s="103"/>
      <c r="C152" s="114"/>
      <c r="D152" s="114"/>
      <c r="E152" s="114"/>
      <c r="F152" s="114"/>
      <c r="G152" s="114"/>
      <c r="H152" s="114"/>
      <c r="I152" s="114"/>
      <c r="J152" s="114"/>
      <c r="K152" s="114"/>
      <c r="L152" s="114"/>
    </row>
  </sheetData>
  <sheetProtection sheet="1" objects="1" scenarios="1"/>
  <mergeCells count="14">
    <mergeCell ref="C88:E88"/>
    <mergeCell ref="F88:G88"/>
    <mergeCell ref="C90:E90"/>
    <mergeCell ref="F90:G90"/>
    <mergeCell ref="C150:L151"/>
    <mergeCell ref="C152:L152"/>
    <mergeCell ref="C3:H3"/>
    <mergeCell ref="C5:F5"/>
    <mergeCell ref="C6:F6"/>
    <mergeCell ref="C84:E84"/>
    <mergeCell ref="I84:M84"/>
    <mergeCell ref="C86:E86"/>
    <mergeCell ref="F86:G86"/>
    <mergeCell ref="I86:M86"/>
  </mergeCells>
  <conditionalFormatting sqref="E20:E34 E36:E38">
    <cfRule type="expression" dxfId="14" priority="15">
      <formula>$E$18="No"</formula>
    </cfRule>
  </conditionalFormatting>
  <conditionalFormatting sqref="F20:F38">
    <cfRule type="expression" dxfId="13" priority="14">
      <formula>$F$18="No"</formula>
    </cfRule>
  </conditionalFormatting>
  <conditionalFormatting sqref="G20:G38">
    <cfRule type="expression" dxfId="12" priority="13">
      <formula>$G$18="No"</formula>
    </cfRule>
  </conditionalFormatting>
  <conditionalFormatting sqref="H20:H38">
    <cfRule type="expression" dxfId="11" priority="12">
      <formula>$H$18="No"</formula>
    </cfRule>
  </conditionalFormatting>
  <conditionalFormatting sqref="I20:I38">
    <cfRule type="expression" dxfId="10" priority="11">
      <formula>$I$18="No"</formula>
    </cfRule>
  </conditionalFormatting>
  <conditionalFormatting sqref="J20:J38">
    <cfRule type="expression" dxfId="9" priority="10">
      <formula>$J$18="No"</formula>
    </cfRule>
  </conditionalFormatting>
  <conditionalFormatting sqref="K20:K38">
    <cfRule type="expression" dxfId="8" priority="9">
      <formula>$K$18="No"</formula>
    </cfRule>
  </conditionalFormatting>
  <conditionalFormatting sqref="L20:L38">
    <cfRule type="expression" dxfId="7" priority="8">
      <formula>$L$18="No"</formula>
    </cfRule>
  </conditionalFormatting>
  <conditionalFormatting sqref="M20:M38">
    <cfRule type="expression" dxfId="6" priority="7">
      <formula>$M$18="No"</formula>
    </cfRule>
  </conditionalFormatting>
  <conditionalFormatting sqref="N20:N38">
    <cfRule type="expression" dxfId="5" priority="6">
      <formula>$N$18="No"</formula>
    </cfRule>
  </conditionalFormatting>
  <conditionalFormatting sqref="O20:O38">
    <cfRule type="expression" dxfId="4" priority="5">
      <formula>$O$18="No"</formula>
    </cfRule>
  </conditionalFormatting>
  <conditionalFormatting sqref="P20:P38">
    <cfRule type="expression" dxfId="3" priority="4">
      <formula>$P$18="No"</formula>
    </cfRule>
  </conditionalFormatting>
  <conditionalFormatting sqref="Q20:Q38">
    <cfRule type="expression" dxfId="2" priority="3">
      <formula>$Q$18="No"</formula>
    </cfRule>
  </conditionalFormatting>
  <conditionalFormatting sqref="R20:R38">
    <cfRule type="expression" dxfId="1" priority="2">
      <formula>$R$18="No"</formula>
    </cfRule>
  </conditionalFormatting>
  <conditionalFormatting sqref="S20:S38">
    <cfRule type="expression" dxfId="0" priority="1">
      <formula>$S$18="No"</formula>
    </cfRule>
  </conditionalFormatting>
  <hyperlinks>
    <hyperlink ref="C145" r:id="rId1"/>
    <hyperlink ref="C3" r:id="rId2"/>
  </hyperlinks>
  <pageMargins left="0.7" right="0.7" top="0.75" bottom="0.75" header="0.3" footer="0.3"/>
  <pageSetup scale="50" fitToHeight="2" orientation="landscape" r:id="rId3"/>
  <headerFooter>
    <oddHeader>&amp;LIowa State University Extension and Outreach &amp;RAg Decision Maker File B1-74</oddHeader>
    <oddFooter>&amp;Lhttp://www.extension.iastate.edu/agdm/livestock/xls/b1-74netpresentvalueofbeefreplacementfemalesgroup.xlsx</oddFooter>
  </headerFooter>
  <rowBreaks count="1" manualBreakCount="1">
    <brk id="79" min="2" max="18"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vt:lpstr>
      <vt:lpstr>Blank</vt:lpstr>
      <vt:lpstr>Blank!Print_Area</vt:lpstr>
      <vt:lpstr>Example!Print_Area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Lee [ECON]</dc:creator>
  <cp:lastModifiedBy>Johanns, Ann M [ECONA]</cp:lastModifiedBy>
  <cp:lastPrinted>2016-03-10T20:10:22Z</cp:lastPrinted>
  <dcterms:created xsi:type="dcterms:W3CDTF">2012-08-02T15:27:30Z</dcterms:created>
  <dcterms:modified xsi:type="dcterms:W3CDTF">2017-02-07T21:31:13Z</dcterms:modified>
</cp:coreProperties>
</file>